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66925"/>
  <mc:AlternateContent xmlns:mc="http://schemas.openxmlformats.org/markup-compatibility/2006">
    <mc:Choice Requires="x15">
      <x15ac:absPath xmlns:x15ac="http://schemas.microsoft.com/office/spreadsheetml/2010/11/ac" url="C:\Users\jimcubiegmail.com\Documents\Web Project\Building  construction\"/>
    </mc:Choice>
  </mc:AlternateContent>
  <xr:revisionPtr revIDLastSave="0" documentId="8_{7F431CAC-1912-4AE5-BB6E-58DD20B702F9}" xr6:coauthVersionLast="47" xr6:coauthVersionMax="47" xr10:uidLastSave="{00000000-0000-0000-0000-000000000000}"/>
  <bookViews>
    <workbookView xWindow="26505" yWindow="2505" windowWidth="18900" windowHeight="11055" activeTab="1" xr2:uid="{25867036-1DDC-4EA5-8E74-54B13DA40BF3}"/>
  </bookViews>
  <sheets>
    <sheet name="Spreadsheet explanation" sheetId="16" r:id="rId1"/>
    <sheet name="Base spreadsheet" sheetId="1" r:id="rId2"/>
    <sheet name="Sheet2" sheetId="19" r:id="rId3"/>
    <sheet name="Sheet1" sheetId="18" r:id="rId4"/>
    <sheet name="Financing" sheetId="11" r:id="rId5"/>
    <sheet name="bldgcostsqfeet" sheetId="8" r:id="rId6"/>
    <sheet name="Case study" sheetId="17" r:id="rId7"/>
  </sheets>
  <definedNames>
    <definedName name="_Toc120610339" localSheetId="0">'Spreadsheet explanation'!$B$2</definedName>
    <definedName name="_Toc120610341" localSheetId="0">'Spreadsheet explanation'!$B$16</definedName>
    <definedName name="_Toc120610342" localSheetId="0">'Spreadsheet explanation'!$B$18</definedName>
    <definedName name="_Toc120610343" localSheetId="0">'Spreadsheet explanation'!$B$22</definedName>
    <definedName name="_Toc120610345" localSheetId="6">'Case study'!$A$1</definedName>
    <definedName name="_Why_Scenarios_and" localSheetId="0">'Spreadsheet explanation'!$B$10</definedName>
    <definedName name="add10percent">#REF!</definedName>
    <definedName name="Bird_Safe_Floors">'Base spreadsheet'!$D$11</definedName>
    <definedName name="bldg_sq_ft_cost">'Base spreadsheet'!$C$34</definedName>
    <definedName name="bldgdepth">'Base spreadsheet'!$D$6</definedName>
    <definedName name="bldgheight">'Base spreadsheet'!$F$6</definedName>
    <definedName name="bldgwidth">'Base spreadsheet'!$D$4</definedName>
    <definedName name="buildingcost">'Base spreadsheet'!$C$36</definedName>
    <definedName name="cost_100ft_windows">'Base spreadsheet'!$D$60</definedName>
    <definedName name="cst_sq_foot">'Base spreadsheet'!$G$108</definedName>
    <definedName name="fiftypercentadd">#REF!</definedName>
    <definedName name="floors_under_30">'Base spreadsheet'!$K$23</definedName>
    <definedName name="Glass_cost_sq_foot">'Base spreadsheet'!$C$38</definedName>
    <definedName name="height_of_floor">'Base spreadsheet'!$D$9</definedName>
    <definedName name="med4bldgcossqft">'Base spreadsheet'!$N$8</definedName>
    <definedName name="med4bldgheight">'Base spreadsheet'!$N$6</definedName>
    <definedName name="Med4bldgwidth">'Base spreadsheet'!$N$4</definedName>
    <definedName name="med4Building_Cost">'Base spreadsheet'!$N$36</definedName>
    <definedName name="med4flrheight">'Base spreadsheet'!$N$14</definedName>
    <definedName name="med4glasscostsqft">'Base spreadsheet'!$N$13</definedName>
    <definedName name="med4safefloors">'Base spreadsheet'!$N$16</definedName>
    <definedName name="med4safeheight">'Base spreadsheet'!$N$7</definedName>
    <definedName name="med4swindowq_ftper_floor">'Base spreadsheet'!$N$29</definedName>
    <definedName name="med4totalfloors">'Base spreadsheet'!$N$15</definedName>
    <definedName name="med4unsafeflrcost">'Base spreadsheet'!$N$42</definedName>
    <definedName name="med4window_width">'Base spreadsheet'!$O$10</definedName>
    <definedName name="med4windowhight">'Base spreadsheet'!$N$9</definedName>
    <definedName name="med4windowonesqft">'Base spreadsheet'!$N$28</definedName>
    <definedName name="Med4windowsperfloor">'Base spreadsheet'!$N$11</definedName>
    <definedName name="med4windowsq_ft_bird_safe">'Base spreadsheet'!$N$31</definedName>
    <definedName name="med4windowwidth">'Base spreadsheet'!$N$10</definedName>
    <definedName name="medium4bldgdepth">'Base spreadsheet'!$N$5</definedName>
    <definedName name="medium4cstsqft">'Base spreadsheet'!$N$8</definedName>
    <definedName name="medium4glasssafesqfeet">'Base spreadsheet'!$D$31</definedName>
    <definedName name="medium4windheight">'Base spreadsheet'!$O$9</definedName>
    <definedName name="numfloors">'Base spreadsheet'!$D$10</definedName>
    <definedName name="one_window_cost">#REF!</definedName>
    <definedName name="optonewindow_size">#REF!</definedName>
    <definedName name="safefloors">'Base spreadsheet'!$K$23</definedName>
    <definedName name="sq_feet_behiun_1_window">#REF!</definedName>
    <definedName name="sq_ft_100_ft_w">'Base spreadsheet'!$D$31</definedName>
    <definedName name="sq_ft_all_W">'Base spreadsheet'!$C$30</definedName>
    <definedName name="sq_ft_bldg">'Base spreadsheet'!$D$14</definedName>
    <definedName name="sq_ft_eq_bird_safe">'Base spreadsheet'!$D$31</definedName>
    <definedName name="sq_ft_per_w">'Base spreadsheet'!$D$28</definedName>
    <definedName name="sq_ft_window">'Base spreadsheet'!$D$28</definedName>
    <definedName name="sqft_bldg">'Base spreadsheet'!$D$14</definedName>
    <definedName name="tall4windows_per_floor">'Base spreadsheet'!$X$21</definedName>
    <definedName name="tall4windowsperfloor">'Base spreadsheet'!$X$11</definedName>
    <definedName name="tallbldgsq_ft_building">'Base spreadsheet'!$S$18</definedName>
    <definedName name="tallbldgsqftcost">'Base spreadsheet'!$S$8</definedName>
    <definedName name="tallbuildcostsqfoot">'Base spreadsheet'!$S$8</definedName>
    <definedName name="tallBuilding_Cost">'Base spreadsheet'!$S$36</definedName>
    <definedName name="tallfloorsqfeet">'Base spreadsheet'!$S$17</definedName>
    <definedName name="tallfloorssafe">'Base spreadsheet'!$S$16</definedName>
    <definedName name="tallglasscostsqft">'Base spreadsheet'!$S$13</definedName>
    <definedName name="tallnumfloors">'Base spreadsheet'!$S$15</definedName>
    <definedName name="tallwindow_width">'Base spreadsheet'!$S$25</definedName>
    <definedName name="tallwindowcostsqftt">'Base spreadsheet'!$U$39</definedName>
    <definedName name="tallwindowheight">'Base spreadsheet'!$S$26</definedName>
    <definedName name="tallwindowperfloor">'Base spreadsheet'!$S$15</definedName>
    <definedName name="tallwindows_sq_ft_per_floor">'Base spreadsheet'!$S$29</definedName>
    <definedName name="tallwindowsfloor">'Base spreadsheet'!$S$21</definedName>
    <definedName name="tallwindowsperfloor">'Base spreadsheet'!$S$21</definedName>
    <definedName name="tallwindowsqftsaf">'Base spreadsheet'!$S$31</definedName>
    <definedName name="tallwindowsstotal">'Base spreadsheet'!$S$22</definedName>
    <definedName name="tenpercentadd">#REF!</definedName>
    <definedName name="twentypercentadd">#REF!</definedName>
    <definedName name="unsafecostperfloor" localSheetId="1">'Base spreadsheet'!$I$59</definedName>
    <definedName name="w__per_floor">'Base spreadsheet'!#REF!</definedName>
    <definedName name="w_per_floor">'Base spreadsheet'!$C$21</definedName>
    <definedName name="windowfiftypercentbidgcost">#REF!</definedName>
    <definedName name="windows_per_flr">'Base spreadsheet'!#REF!</definedName>
    <definedName name="windowssq_ft_per_floor">'Base spreadsheet'!$D$29</definedName>
    <definedName name="windowtenpercentbidgcost">#REF!</definedName>
    <definedName name="windowtwentyfivepercentbidgcost">#REF!</definedName>
    <definedName name="winunder100">#REF!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 i="11" l="1"/>
  <c r="C17" i="11"/>
  <c r="C36" i="1"/>
  <c r="D61" i="1"/>
  <c r="P74" i="1"/>
  <c r="O74" i="1"/>
  <c r="N30" i="17"/>
  <c r="L31" i="17"/>
  <c r="K31" i="17"/>
  <c r="L30" i="17"/>
  <c r="L29" i="17"/>
  <c r="L28" i="17"/>
  <c r="G24" i="17"/>
  <c r="K22" i="17"/>
  <c r="G22" i="17"/>
  <c r="M17" i="19"/>
  <c r="L13" i="19"/>
  <c r="N71" i="1"/>
  <c r="N70" i="1"/>
  <c r="N69" i="1"/>
  <c r="J11" i="19"/>
  <c r="C76" i="1"/>
  <c r="D78" i="1" s="1"/>
  <c r="M134" i="1"/>
  <c r="O1" i="1"/>
  <c r="G55" i="1"/>
  <c r="F18" i="1"/>
  <c r="D16" i="1"/>
  <c r="D76" i="1" l="1"/>
  <c r="D77" i="1"/>
  <c r="D5" i="1"/>
  <c r="O13" i="17"/>
  <c r="O12" i="17"/>
  <c r="P55" i="1"/>
  <c r="O56" i="1"/>
  <c r="O55" i="1"/>
  <c r="O54" i="1"/>
  <c r="N42" i="1"/>
  <c r="C42" i="1"/>
  <c r="N22" i="1"/>
  <c r="N12" i="1"/>
  <c r="F17" i="1"/>
  <c r="N11" i="18"/>
  <c r="O9" i="18"/>
  <c r="F19" i="16"/>
  <c r="F18" i="16"/>
  <c r="F49" i="16"/>
  <c r="F48" i="16"/>
  <c r="D8" i="1"/>
  <c r="C10" i="11" l="1"/>
  <c r="Y41" i="1" l="1"/>
  <c r="Z42" i="1" s="1"/>
  <c r="Y40" i="1"/>
  <c r="Z41" i="1" s="1"/>
  <c r="Y39" i="1"/>
  <c r="X21" i="1"/>
  <c r="X38" i="1"/>
  <c r="X34" i="1"/>
  <c r="X26" i="1"/>
  <c r="X25" i="1"/>
  <c r="X17" i="1"/>
  <c r="X16" i="1"/>
  <c r="X15" i="1"/>
  <c r="T41" i="1"/>
  <c r="U41" i="1" s="1"/>
  <c r="T40" i="1"/>
  <c r="U40" i="1" s="1"/>
  <c r="T39" i="1"/>
  <c r="U39" i="1" s="1"/>
  <c r="S38" i="1"/>
  <c r="S34" i="1"/>
  <c r="S17" i="1"/>
  <c r="U26" i="1"/>
  <c r="S26" i="1"/>
  <c r="U25" i="1"/>
  <c r="S25" i="1"/>
  <c r="S15" i="1"/>
  <c r="X22" i="1" s="1"/>
  <c r="S16" i="1"/>
  <c r="S23" i="1" s="1"/>
  <c r="N38" i="1"/>
  <c r="O41" i="1" s="1"/>
  <c r="P41" i="1" s="1"/>
  <c r="N34" i="1"/>
  <c r="N28" i="1"/>
  <c r="N29" i="1" s="1"/>
  <c r="N26" i="1"/>
  <c r="N25" i="1"/>
  <c r="N16" i="1"/>
  <c r="N15" i="1"/>
  <c r="N17" i="1"/>
  <c r="C21" i="1"/>
  <c r="X18" i="1" l="1"/>
  <c r="S22" i="1"/>
  <c r="AF39" i="1"/>
  <c r="X28" i="1"/>
  <c r="X29" i="1" s="1"/>
  <c r="X31" i="1" s="1"/>
  <c r="AF40" i="1"/>
  <c r="AF41" i="1"/>
  <c r="X23" i="1"/>
  <c r="S28" i="1"/>
  <c r="S29" i="1" s="1"/>
  <c r="S18" i="1"/>
  <c r="S36" i="1" s="1"/>
  <c r="S68" i="1" s="1"/>
  <c r="N31" i="1"/>
  <c r="N18" i="1"/>
  <c r="N30" i="1"/>
  <c r="O39" i="1"/>
  <c r="P39" i="1" s="1"/>
  <c r="O40" i="1"/>
  <c r="P40" i="1" s="1"/>
  <c r="C38" i="1"/>
  <c r="C34" i="1"/>
  <c r="F122" i="1"/>
  <c r="F121" i="1"/>
  <c r="G118" i="1"/>
  <c r="G117" i="1"/>
  <c r="F9" i="11"/>
  <c r="F12" i="11" s="1"/>
  <c r="AO6" i="1"/>
  <c r="X8" i="1" s="1"/>
  <c r="AO5" i="1"/>
  <c r="AO4" i="1"/>
  <c r="P26" i="1"/>
  <c r="P25" i="1"/>
  <c r="D108" i="1"/>
  <c r="G108" i="1" s="1"/>
  <c r="I30" i="1"/>
  <c r="I39" i="1"/>
  <c r="J39" i="1"/>
  <c r="J48" i="1"/>
  <c r="J49" i="1" s="1"/>
  <c r="I56" i="1"/>
  <c r="J60" i="1"/>
  <c r="I83" i="1"/>
  <c r="I84" i="1"/>
  <c r="X30" i="1" l="1"/>
  <c r="X42" i="1"/>
  <c r="Y44" i="1"/>
  <c r="Y49" i="1" s="1"/>
  <c r="S73" i="1"/>
  <c r="X73" i="1"/>
  <c r="S30" i="1"/>
  <c r="S42" i="1"/>
  <c r="Y46" i="1"/>
  <c r="Y51" i="1" s="1"/>
  <c r="Y45" i="1"/>
  <c r="Y50" i="1" s="1"/>
  <c r="X36" i="1"/>
  <c r="T46" i="1"/>
  <c r="T51" i="1" s="1"/>
  <c r="T44" i="1"/>
  <c r="S31" i="1"/>
  <c r="T45" i="1"/>
  <c r="O46" i="1"/>
  <c r="O51" i="1" s="1"/>
  <c r="O45" i="1"/>
  <c r="O50" i="1" s="1"/>
  <c r="O44" i="1"/>
  <c r="O49" i="1" s="1"/>
  <c r="A10" i="1"/>
  <c r="B10" i="1" s="1"/>
  <c r="D10" i="1" s="1"/>
  <c r="X68" i="1" l="1"/>
  <c r="T50" i="1"/>
  <c r="T49" i="1"/>
  <c r="K57" i="1"/>
  <c r="K58" i="1"/>
  <c r="K56" i="1"/>
  <c r="I59" i="1"/>
  <c r="A11" i="1"/>
  <c r="B11" i="1" s="1"/>
  <c r="D11" i="1" s="1"/>
  <c r="Y54" i="1" s="1"/>
  <c r="Y73" i="1" s="1"/>
  <c r="J31" i="1"/>
  <c r="D41" i="1"/>
  <c r="C84" i="1"/>
  <c r="T55" i="1" l="1"/>
  <c r="X69" i="1"/>
  <c r="Y55" i="1"/>
  <c r="Y74" i="1" s="1"/>
  <c r="Y56" i="1"/>
  <c r="Y75" i="1" s="1"/>
  <c r="D23" i="1"/>
  <c r="T54" i="1"/>
  <c r="T73" i="1" s="1"/>
  <c r="T56" i="1"/>
  <c r="T75" i="1" s="1"/>
  <c r="D7" i="1"/>
  <c r="D13" i="1"/>
  <c r="D14" i="1" s="1"/>
  <c r="E41" i="1"/>
  <c r="D39" i="1"/>
  <c r="E39" i="1" s="1"/>
  <c r="D40" i="1"/>
  <c r="E40" i="1" s="1"/>
  <c r="D28" i="1"/>
  <c r="T74" i="1" l="1"/>
  <c r="U70" i="1"/>
  <c r="U69" i="1"/>
  <c r="X71" i="1"/>
  <c r="U71" i="1"/>
  <c r="X70" i="1"/>
  <c r="J32" i="1"/>
  <c r="J38" i="1"/>
  <c r="D22" i="1"/>
  <c r="D29" i="1"/>
  <c r="C4" i="11" l="1"/>
  <c r="C68" i="1"/>
  <c r="Y60" i="1"/>
  <c r="Y65" i="1" s="1"/>
  <c r="Y59" i="1"/>
  <c r="Y64" i="1" s="1"/>
  <c r="Y61" i="1"/>
  <c r="Y66" i="1" s="1"/>
  <c r="C73" i="1"/>
  <c r="T59" i="1"/>
  <c r="T64" i="1" s="1"/>
  <c r="T61" i="1"/>
  <c r="T66" i="1" s="1"/>
  <c r="T60" i="1"/>
  <c r="T65" i="1" s="1"/>
  <c r="O61" i="1"/>
  <c r="O65" i="1" s="1"/>
  <c r="O59" i="1"/>
  <c r="O60" i="1"/>
  <c r="O64" i="1" s="1"/>
  <c r="D31" i="1"/>
  <c r="D30" i="1"/>
  <c r="D44" i="1"/>
  <c r="D45" i="1"/>
  <c r="J61" i="1" s="1"/>
  <c r="D46" i="1"/>
  <c r="J67" i="1" s="1"/>
  <c r="O63" i="1" l="1"/>
  <c r="P63" i="1"/>
  <c r="C5" i="11"/>
  <c r="C6" i="11" s="1"/>
  <c r="C51" i="1"/>
  <c r="C56" i="1" s="1"/>
  <c r="D75" i="1" s="1"/>
  <c r="C49" i="1"/>
  <c r="C50" i="1"/>
  <c r="C55" i="1" l="1"/>
  <c r="E4" i="11" s="1"/>
  <c r="D50" i="1"/>
  <c r="C54" i="1"/>
  <c r="D73" i="1" s="1"/>
  <c r="E49" i="1"/>
  <c r="D66" i="1"/>
  <c r="D113" i="1"/>
  <c r="F113" i="1" s="1"/>
  <c r="D112" i="1"/>
  <c r="F112" i="1" s="1"/>
  <c r="D71" i="1"/>
  <c r="D60" i="1" l="1"/>
  <c r="D74" i="1"/>
  <c r="F4" i="11"/>
  <c r="F5" i="11" s="1"/>
  <c r="F6" i="11" s="1"/>
  <c r="E6" i="11"/>
  <c r="D59" i="1"/>
  <c r="D64" i="1" s="1"/>
  <c r="D111" i="1"/>
  <c r="F111" i="1" s="1"/>
  <c r="D69" i="1"/>
  <c r="D70" i="1"/>
  <c r="N36" i="1"/>
  <c r="D65" i="1" l="1"/>
  <c r="P60" i="1"/>
  <c r="E65" i="1"/>
  <c r="O68" i="1"/>
  <c r="Z72" i="1" s="1"/>
  <c r="O73" i="1"/>
  <c r="Z71" i="1" l="1"/>
  <c r="Z70" i="1"/>
  <c r="Z76" i="1"/>
  <c r="Z75" i="1"/>
  <c r="Z74" i="1"/>
  <c r="P73" i="1"/>
  <c r="P75" i="1"/>
  <c r="P69" i="1"/>
  <c r="P71" i="1"/>
  <c r="P70" i="1"/>
  <c r="Z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jimcubie@gmail.com</author>
  </authors>
  <commentList>
    <comment ref="G117" authorId="0" shapeId="0" xr:uid="{C3400058-22BE-4857-A28D-17F6922C733B}">
      <text>
        <r>
          <rPr>
            <b/>
            <sz val="9"/>
            <color indexed="81"/>
            <rFont val="Tahoma"/>
            <family val="2"/>
          </rPr>
          <t>jimcubie@gmail.com:</t>
        </r>
        <r>
          <rPr>
            <sz val="9"/>
            <color indexed="81"/>
            <rFont val="Tahoma"/>
            <family val="2"/>
          </rPr>
          <t xml:space="preserve">
</t>
        </r>
      </text>
    </comment>
  </commentList>
</comments>
</file>

<file path=xl/sharedStrings.xml><?xml version="1.0" encoding="utf-8"?>
<sst xmlns="http://schemas.openxmlformats.org/spreadsheetml/2006/main" count="333" uniqueCount="178">
  <si>
    <t>Read this entire piece</t>
  </si>
  <si>
    <t>Commercial office space</t>
  </si>
  <si>
    <t>Doe window info</t>
  </si>
  <si>
    <t>How do you find the square footage of a multi story building?</t>
  </si>
  <si>
    <t>How to Calculate Square Footage in Your Facility, the Easy Way</t>
  </si>
  <si>
    <t>How Tall is a Storey in Feet? - Skydeck Chicago</t>
  </si>
  <si>
    <t>Average size of new commercial buildings in United States - EIA</t>
  </si>
  <si>
    <t>windows</t>
  </si>
  <si>
    <t>use</t>
  </si>
  <si>
    <t>height</t>
  </si>
  <si>
    <t>sq ft/floor</t>
  </si>
  <si>
    <t>sq ft/bldg</t>
  </si>
  <si>
    <t>Costs</t>
  </si>
  <si>
    <t>sq feet</t>
  </si>
  <si>
    <t>cst/sq foot</t>
  </si>
  <si>
    <t>Glass cost sq foot</t>
  </si>
  <si>
    <t>sq ft/window</t>
  </si>
  <si>
    <t>Windows</t>
  </si>
  <si>
    <t>w/ per floor</t>
  </si>
  <si>
    <t>sq_ft_all-W</t>
  </si>
  <si>
    <t>bldg cost/sq foot</t>
  </si>
  <si>
    <t>w per floor</t>
  </si>
  <si>
    <t>height of floor</t>
  </si>
  <si>
    <t>floors under 100 feet</t>
  </si>
  <si>
    <t>total windows</t>
  </si>
  <si>
    <t>window width</t>
  </si>
  <si>
    <t>window height</t>
  </si>
  <si>
    <t xml:space="preserve">depth </t>
  </si>
  <si>
    <t xml:space="preserve">low e, </t>
  </si>
  <si>
    <t>15-20</t>
  </si>
  <si>
    <t>frit</t>
  </si>
  <si>
    <t>aci</t>
  </si>
  <si>
    <t>uv</t>
  </si>
  <si>
    <t xml:space="preserve">add $ for $12 </t>
  </si>
  <si>
    <t>fab pice to 15 20 reg window</t>
  </si>
  <si>
    <t>glazer to consurtion com[</t>
  </si>
  <si>
    <t>acid  edge</t>
  </si>
  <si>
    <t>installed</t>
  </si>
  <si>
    <t>cost commercial glas</t>
  </si>
  <si>
    <t>oneday</t>
  </si>
  <si>
    <t>co0mmercial estimator</t>
  </si>
  <si>
    <t>mid-range</t>
  </si>
  <si>
    <t>windowcost see bcgd</t>
  </si>
  <si>
    <t>average size bldg</t>
  </si>
  <si>
    <t xml:space="preserve">Commercial Window Costs // How much do commercial </t>
  </si>
  <si>
    <t>https://glassstorefrontdoorscom/pricing/</t>
  </si>
  <si>
    <t># of floors below 100 ft</t>
  </si>
  <si>
    <t>https://bobcutmagcom/2022/03/23/how-much-does-it-cost-to-install-storefront-glass/</t>
  </si>
  <si>
    <t>1 sq meter =</t>
  </si>
  <si>
    <t>If you’re building a single-story office space in the US, your average cost per square foot will be around $313 Constructing a mid-rise office building will cost an average of $562 per square foot High-rise buildings cost an average of $660 per square foot to build</t>
  </si>
  <si>
    <t>https://wwwenergygov/eere/buildings/windows</t>
  </si>
  <si>
    <t>Measure the length and width of the building's walls Multiply the length and width measurements to find square footage Remember to multiply the square footage times the number of floors in the building if your facility has more than one floorJul 19, 2021</t>
  </si>
  <si>
    <t>The height of each story in a building is based on ceiling height, floor thickness, and building material — with a general average of about 14 feet</t>
  </si>
  <si>
    <t>The average size of buildings constructed before 1960 (26% of the commercial building stock) is 12,000 square feet; buildings constructed between 1960 and 1999 (55%) average 16,300 square feet; and buildings constructed in the 2000s (18%) average 19,000 square feetMay 8, 2015</t>
  </si>
  <si>
    <t>https://wwweiagov › todayinenergy › detail</t>
  </si>
  <si>
    <t>unsafecostperfloor</t>
  </si>
  <si>
    <t>safecost per floor</t>
  </si>
  <si>
    <t>sq ft/floor/per floor</t>
  </si>
  <si>
    <t>sq ft windows/per floor</t>
  </si>
  <si>
    <t>width of building</t>
  </si>
  <si>
    <t>Sq fweet windows</t>
  </si>
  <si>
    <t>sq ft/one window</t>
  </si>
  <si>
    <t>sq ftwindows per floor</t>
  </si>
  <si>
    <t>Building Assumptions</t>
  </si>
  <si>
    <t>Bird safe Height</t>
  </si>
  <si>
    <t>Window Assumptions</t>
  </si>
  <si>
    <t>windows req safe</t>
  </si>
  <si>
    <t>sq_ft eq bird safe</t>
  </si>
  <si>
    <t>net cost safe glass per floor</t>
  </si>
  <si>
    <t xml:space="preserve">  </t>
  </si>
  <si>
    <t xml:space="preserve"> Per cent added cost to developer of bird safe</t>
  </si>
  <si>
    <t>Added cost of for the bird safe height.</t>
  </si>
  <si>
    <t>Variables</t>
  </si>
  <si>
    <t>windows per floor</t>
  </si>
  <si>
    <t>fills one side</t>
  </si>
  <si>
    <t>glass cost/sq ft.</t>
  </si>
  <si>
    <t>const cost sq feet.</t>
  </si>
  <si>
    <t>bldg width ft.</t>
  </si>
  <si>
    <t>bldg depth ft</t>
  </si>
  <si>
    <t>bldg height ft.</t>
  </si>
  <si>
    <t>safe height ft</t>
  </si>
  <si>
    <t>https://www.mortgagecalculator.org/calcs/commercial.php</t>
  </si>
  <si>
    <t>Annual Variability in Cost of Major Materials(historical data)</t>
  </si>
  <si>
    <t>Number of times that Cost variation is of add bird safe cost</t>
  </si>
  <si>
    <t>Number of floors rounded</t>
  </si>
  <si>
    <t>used as AVG of China price below</t>
  </si>
  <si>
    <t>unrounded</t>
  </si>
  <si>
    <t>mid-rise</t>
  </si>
  <si>
    <t>highrise</t>
  </si>
  <si>
    <t>single story office</t>
  </si>
  <si>
    <t>Avg U.S. Price</t>
  </si>
  <si>
    <t>Enter Variables Below</t>
  </si>
  <si>
    <t># Bird Safe Floors</t>
  </si>
  <si>
    <t xml:space="preserve">safe window cost per sq ft </t>
  </si>
  <si>
    <t>10% added for fabrication</t>
  </si>
  <si>
    <t>(avg. mid-rise office building</t>
  </si>
  <si>
    <t>Building Cost</t>
  </si>
  <si>
    <t>Net</t>
  </si>
  <si>
    <t>4.5% 30</t>
  </si>
  <si>
    <t>Add 25%</t>
  </si>
  <si>
    <t>P and 1</t>
  </si>
  <si>
    <t>mthly cost add for brid safe</t>
  </si>
  <si>
    <t>% 0f p and I</t>
  </si>
  <si>
    <t>100 feet</t>
  </si>
  <si>
    <t xml:space="preserve">net </t>
  </si>
  <si>
    <t>30 feet</t>
  </si>
  <si>
    <t>square feet building</t>
  </si>
  <si>
    <t>If you’re building a single-story office space in the US, your average cost per square foot will be around $313. Constructing a mid-rise office building will cost an average of $562 per square foot. High-rise buildings cost an average of $660 per square foot to build.  Soruces https://www.levelset.com/blog/commercial-construction-cost-per-square-foot/#Commercial_office_space</t>
  </si>
  <si>
    <t>total sq foot per floor</t>
  </si>
  <si>
    <t>Cost overruns</t>
  </si>
  <si>
    <t>floor height</t>
  </si>
  <si>
    <t>num floors</t>
  </si>
  <si>
    <t>safe floors</t>
  </si>
  <si>
    <t>safe windows total</t>
  </si>
  <si>
    <t>sq ft 1 window</t>
  </si>
  <si>
    <t>sq ft windows per floor</t>
  </si>
  <si>
    <t>sq ft all windows</t>
  </si>
  <si>
    <t>sq ft bird safe</t>
  </si>
  <si>
    <t>sq ft building</t>
  </si>
  <si>
    <t>glass cost sq. ft</t>
  </si>
  <si>
    <t>w per floor, all sides</t>
  </si>
  <si>
    <t>net safe cost per floor</t>
  </si>
  <si>
    <t>Option 4 Tall all glass</t>
  </si>
  <si>
    <t>Option 1  Glass covering only  front 100 ft safe</t>
  </si>
  <si>
    <t>Option 3 Tall Office Glass Front Only</t>
  </si>
  <si>
    <t>Added cost of  the bird safe height.</t>
  </si>
  <si>
    <t>medium 1 side</t>
  </si>
  <si>
    <t>bldg cost</t>
  </si>
  <si>
    <t>annual</t>
  </si>
  <si>
    <t>assumed added cost</t>
  </si>
  <si>
    <t>Case Study- Comparing Actual Costs</t>
  </si>
  <si>
    <t xml:space="preserve">         Process of Analyzing the Added Cost of Bird-Safe Glass</t>
  </si>
  <si>
    <t>At columns F4-F13 are where the variables that need to be entered --</t>
  </si>
  <si>
    <t>Savings for lowering the safe level from 100 to 50 feet.</t>
  </si>
  <si>
    <t>bird safe height ft</t>
  </si>
  <si>
    <t>computed by spread sheet</t>
  </si>
  <si>
    <t>https://www.levelset.com/blog/commercial-construction-cost-per-square-foot/#Commercial_office_space</t>
  </si>
  <si>
    <t>Source</t>
  </si>
  <si>
    <t>Check all references</t>
  </si>
  <si>
    <t xml:space="preserve">`  </t>
  </si>
  <si>
    <t>tax credit</t>
  </si>
  <si>
    <t>https://www.eia.gov/consumption/commercial/data/2012/index.php?view=characteristics</t>
  </si>
  <si>
    <t>Window glass</t>
  </si>
  <si>
    <t>Number of buildings (thousand)</t>
  </si>
  <si>
    <t>Total
floorspace
(million 
square feet)</t>
  </si>
  <si>
    <t>Total
workers
(thousand)</t>
  </si>
  <si>
    <t>Mean 
square feet
per building (thousand)</t>
  </si>
  <si>
    <r>
      <t>Mean
square
feet per worker</t>
    </r>
    <r>
      <rPr>
        <b/>
        <vertAlign val="superscript"/>
        <sz val="10"/>
        <color theme="1"/>
        <rFont val="Calibri"/>
        <family val="2"/>
        <scheme val="minor"/>
      </rPr>
      <t>1</t>
    </r>
  </si>
  <si>
    <t>seems to be 200=2018</t>
  </si>
  <si>
    <t>%window glass</t>
  </si>
  <si>
    <t>Total # of buildings</t>
  </si>
  <si>
    <t>30ft</t>
  </si>
  <si>
    <t>.</t>
  </si>
  <si>
    <t>total floors</t>
  </si>
  <si>
    <t>rounded</t>
  </si>
  <si>
    <t>=</t>
  </si>
  <si>
    <t>glass material cost</t>
  </si>
  <si>
    <t>240,000/</t>
  </si>
  <si>
    <t>mig</t>
  </si>
  <si>
    <t>d</t>
  </si>
  <si>
    <t>Change orders</t>
  </si>
  <si>
    <t>10-15%</t>
  </si>
  <si>
    <t>option 40 feet</t>
  </si>
  <si>
    <t>cost of glass</t>
  </si>
  <si>
    <t>Materials</t>
  </si>
  <si>
    <t>Glass materials</t>
  </si>
  <si>
    <t>60% of 447</t>
  </si>
  <si>
    <t>21% of cost of materials</t>
  </si>
  <si>
    <t>You started total cost of window - labor and material</t>
  </si>
  <si>
    <t>Change orders 12%</t>
  </si>
  <si>
    <t>July</t>
  </si>
  <si>
    <t>June</t>
  </si>
  <si>
    <t>May</t>
  </si>
  <si>
    <t>Since  March 2022 Fed</t>
  </si>
  <si>
    <t>has rased  loan rates by 5 pointts</t>
  </si>
  <si>
    <t>5points 5%</t>
  </si>
  <si>
    <t>at 5%</t>
  </si>
  <si>
    <t>at.25%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</si>
</sst>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8" formatCode="&quot;$&quot;#,##0.00_);[Red]\(&quot;$&quot;#,##0.00\)"/>
    <numFmt numFmtId="42" formatCode="_(&quot;$&quot;* #,##0_);_(&quot;$&quot;* \(#,##0\);_(&quot;$&quot;* &quot;-&quot;_);_(@_)"/>
    <numFmt numFmtId="164" formatCode="&quot;$&quot;#,##0"/>
    <numFmt numFmtId="165" formatCode="0.000%"/>
    <numFmt numFmtId="166" formatCode="&quot;$&quot;#,##0.00"/>
    <numFmt numFmtId="167" formatCode="0.000"/>
    <numFmt numFmtId="168" formatCode="0.0"/>
    <numFmt numFmtId="169" formatCode="0.0000%"/>
    <numFmt numFmtId="170" formatCode="&quot;$&quot;#,##0.0"/>
  </numFmts>
  <fonts count="47">
    <font>
      <sz val="11"/>
      <color theme="1"/>
      <name val="Calibri"/>
      <family val="2"/>
      <scheme val="minor"/>
    </font>
    <font>
      <sz val="12"/>
      <color rgb="FF202124"/>
      <name val="Arial"/>
      <family val="2"/>
    </font>
    <font>
      <sz val="15"/>
      <color theme="1"/>
      <name val="Arial"/>
      <family val="2"/>
    </font>
    <font>
      <b/>
      <sz val="21"/>
      <color rgb="FF3A4D63"/>
      <name val="Lato"/>
      <family val="2"/>
    </font>
    <font>
      <sz val="13.5"/>
      <color rgb="FF3A4D63"/>
      <name val="-apple-system"/>
    </font>
    <font>
      <sz val="12"/>
      <color rgb="FF64676B"/>
      <name val="Arial"/>
      <family val="2"/>
    </font>
    <font>
      <u/>
      <sz val="11"/>
      <color theme="10"/>
      <name val="Calibri"/>
      <family val="2"/>
      <scheme val="minor"/>
    </font>
    <font>
      <u/>
      <sz val="11"/>
      <color theme="1"/>
      <name val="Calibri"/>
      <family val="2"/>
      <scheme val="minor"/>
    </font>
    <font>
      <b/>
      <sz val="20"/>
      <color theme="1"/>
      <name val="Calibri"/>
      <family val="2"/>
      <scheme val="minor"/>
    </font>
    <font>
      <b/>
      <sz val="14"/>
      <color theme="1"/>
      <name val="Calibri"/>
      <family val="2"/>
      <scheme val="minor"/>
    </font>
    <font>
      <b/>
      <sz val="11"/>
      <color theme="1"/>
      <name val="Calibri"/>
      <family val="2"/>
      <scheme val="minor"/>
    </font>
    <font>
      <sz val="12"/>
      <color theme="1"/>
      <name val="Times New Roman"/>
      <family val="1"/>
    </font>
    <font>
      <sz val="11"/>
      <color rgb="FF9C0006"/>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b/>
      <sz val="16"/>
      <color theme="1"/>
      <name val="Calibri"/>
      <family val="2"/>
      <scheme val="minor"/>
    </font>
    <font>
      <sz val="11"/>
      <name val="Calibri"/>
      <family val="2"/>
      <scheme val="minor"/>
    </font>
    <font>
      <sz val="9"/>
      <color indexed="81"/>
      <name val="Tahoma"/>
      <family val="2"/>
    </font>
    <font>
      <b/>
      <sz val="9"/>
      <color indexed="81"/>
      <name val="Tahoma"/>
      <family val="2"/>
    </font>
    <font>
      <sz val="11"/>
      <color rgb="FF000000"/>
      <name val="Calibri"/>
      <family val="2"/>
      <scheme val="minor"/>
    </font>
    <font>
      <b/>
      <sz val="16"/>
      <color rgb="FF1F3864"/>
      <name val="Calibri Light"/>
      <family val="2"/>
    </font>
    <font>
      <sz val="12"/>
      <color rgb="FF000000"/>
      <name val="Arial"/>
      <family val="2"/>
    </font>
    <font>
      <sz val="13"/>
      <color rgb="FF2F5496"/>
      <name val="Calibri Light"/>
      <family val="2"/>
    </font>
    <font>
      <sz val="24"/>
      <color theme="3" tint="0.3999755851924192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9"/>
      <color theme="1"/>
      <name val="Calibri"/>
      <family val="2"/>
      <scheme val="minor"/>
    </font>
    <font>
      <u/>
      <sz val="11"/>
      <color theme="6"/>
      <name val="Calibri"/>
      <family val="2"/>
    </font>
    <font>
      <b/>
      <sz val="9"/>
      <color theme="1"/>
      <name val="Calibri"/>
      <family val="2"/>
      <scheme val="minor"/>
    </font>
    <font>
      <u/>
      <sz val="10"/>
      <color theme="4"/>
      <name val="Calibri"/>
      <family val="2"/>
      <scheme val="minor"/>
    </font>
    <font>
      <sz val="11"/>
      <color rgb="FF9C6500"/>
      <name val="Calibri"/>
      <family val="2"/>
      <scheme val="minor"/>
    </font>
    <font>
      <b/>
      <sz val="12"/>
      <color theme="4"/>
      <name val="Calibri"/>
      <family val="2"/>
      <scheme val="minor"/>
    </font>
    <font>
      <b/>
      <sz val="18"/>
      <color theme="3"/>
      <name val="Calibri Light"/>
      <family val="2"/>
      <scheme val="major"/>
    </font>
    <font>
      <b/>
      <sz val="10"/>
      <color theme="1"/>
      <name val="Calibri"/>
      <family val="2"/>
      <scheme val="minor"/>
    </font>
    <font>
      <sz val="10"/>
      <color theme="1"/>
      <name val="Calibri"/>
      <family val="2"/>
      <scheme val="minor"/>
    </font>
    <font>
      <b/>
      <vertAlign val="superscript"/>
      <sz val="10"/>
      <color theme="1"/>
      <name val="Calibri"/>
      <family val="2"/>
      <scheme val="minor"/>
    </font>
  </fonts>
  <fills count="39">
    <fill>
      <patternFill patternType="none"/>
    </fill>
    <fill>
      <patternFill patternType="gray125"/>
    </fill>
    <fill>
      <patternFill patternType="solid">
        <fgColor rgb="FFFFFF0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theme="0"/>
        <bgColor indexed="64"/>
      </patternFill>
    </fill>
    <fill>
      <patternFill patternType="solid">
        <fgColor rgb="FFFF0000"/>
        <bgColor indexed="64"/>
      </patternFill>
    </fill>
    <fill>
      <patternFill patternType="solid">
        <fgColor theme="5" tint="0.39994506668294322"/>
        <bgColor indexed="64"/>
      </patternFill>
    </fill>
    <fill>
      <patternFill patternType="solid">
        <fgColor theme="2" tint="-0.89996032593768116"/>
        <bgColor indexed="64"/>
      </patternFill>
    </fill>
    <fill>
      <patternFill patternType="solid">
        <fgColor theme="1"/>
        <bgColor indexed="64"/>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ashed">
        <color theme="0" tint="-0.24994659260841701"/>
      </bottom>
      <diagonal/>
    </border>
    <border>
      <left/>
      <right/>
      <top style="medium">
        <color theme="4"/>
      </top>
      <bottom/>
      <diagonal/>
    </border>
    <border>
      <left style="thick">
        <color theme="0"/>
      </left>
      <right style="thick">
        <color theme="0"/>
      </right>
      <top/>
      <bottom style="thin">
        <color theme="0" tint="-0.24994659260841701"/>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s>
  <cellStyleXfs count="57">
    <xf numFmtId="0" fontId="0" fillId="0" borderId="0"/>
    <xf numFmtId="0" fontId="6"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1" applyNumberFormat="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9" fillId="12" borderId="6" applyNumberFormat="0" applyAlignment="0" applyProtection="0"/>
    <xf numFmtId="0" fontId="30" fillId="12" borderId="1" applyNumberFormat="0" applyAlignment="0" applyProtection="0"/>
    <xf numFmtId="0" fontId="31" fillId="0" borderId="7" applyNumberFormat="0" applyFill="0" applyAlignment="0" applyProtection="0"/>
    <xf numFmtId="0" fontId="32" fillId="13" borderId="8" applyNumberFormat="0" applyAlignment="0" applyProtection="0"/>
    <xf numFmtId="0" fontId="33" fillId="0" borderId="0" applyNumberFormat="0" applyFill="0" applyBorder="0" applyAlignment="0" applyProtection="0"/>
    <xf numFmtId="0" fontId="25" fillId="14" borderId="9" applyNumberFormat="0" applyFont="0" applyAlignment="0" applyProtection="0"/>
    <xf numFmtId="0" fontId="34" fillId="0" borderId="0" applyNumberFormat="0" applyFill="0" applyBorder="0" applyAlignment="0" applyProtection="0"/>
    <xf numFmtId="0" fontId="10" fillId="0" borderId="10" applyNumberFormat="0" applyFill="0" applyAlignment="0" applyProtection="0"/>
    <xf numFmtId="0" fontId="3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3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3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3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35"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35" fillId="35" borderId="0" applyNumberFormat="0" applyBorder="0" applyAlignment="0" applyProtection="0"/>
    <xf numFmtId="0" fontId="25" fillId="36" borderId="0" applyNumberFormat="0" applyBorder="0" applyAlignment="0" applyProtection="0"/>
    <xf numFmtId="0" fontId="25" fillId="37" borderId="0" applyNumberFormat="0" applyBorder="0" applyAlignment="0" applyProtection="0"/>
    <xf numFmtId="0" fontId="35" fillId="18" borderId="0" applyNumberFormat="0" applyBorder="0" applyAlignment="0" applyProtection="0"/>
    <xf numFmtId="0" fontId="35" fillId="22" borderId="0" applyNumberFormat="0" applyBorder="0" applyAlignment="0" applyProtection="0"/>
    <xf numFmtId="0" fontId="35" fillId="26" borderId="0" applyNumberFormat="0" applyBorder="0" applyAlignment="0" applyProtection="0"/>
    <xf numFmtId="0" fontId="35" fillId="30" borderId="0" applyNumberFormat="0" applyBorder="0" applyAlignment="0" applyProtection="0"/>
    <xf numFmtId="0" fontId="35" fillId="34" borderId="0" applyNumberFormat="0" applyBorder="0" applyAlignment="0" applyProtection="0"/>
    <xf numFmtId="0" fontId="35" fillId="38" borderId="0" applyNumberFormat="0" applyBorder="0" applyAlignment="0" applyProtection="0"/>
    <xf numFmtId="0" fontId="37" fillId="0" borderId="11" applyNumberFormat="0" applyFont="0" applyProtection="0">
      <alignment wrapText="1"/>
    </xf>
    <xf numFmtId="0" fontId="38" fillId="0" borderId="0" applyNumberFormat="0" applyFill="0" applyBorder="0" applyAlignment="0" applyProtection="0">
      <alignment vertical="top"/>
      <protection locked="0"/>
    </xf>
    <xf numFmtId="0" fontId="37" fillId="0" borderId="0" applyNumberFormat="0" applyFill="0" applyBorder="0" applyAlignment="0" applyProtection="0"/>
    <xf numFmtId="0" fontId="37" fillId="0" borderId="0" applyNumberFormat="0" applyProtection="0">
      <alignment vertical="top" wrapText="1"/>
    </xf>
    <xf numFmtId="0" fontId="37" fillId="0" borderId="12" applyNumberFormat="0" applyProtection="0">
      <alignment vertical="top" wrapText="1"/>
    </xf>
    <xf numFmtId="0" fontId="39" fillId="0" borderId="3" applyNumberFormat="0" applyProtection="0">
      <alignment wrapText="1"/>
    </xf>
    <xf numFmtId="0" fontId="39" fillId="0" borderId="13" applyNumberFormat="0" applyProtection="0">
      <alignment horizontal="left" wrapText="1"/>
    </xf>
    <xf numFmtId="0" fontId="40" fillId="0" borderId="0" applyNumberFormat="0" applyFill="0" applyBorder="0" applyAlignment="0" applyProtection="0">
      <alignment vertical="top"/>
      <protection locked="0"/>
    </xf>
    <xf numFmtId="0" fontId="41" fillId="5" borderId="0" applyNumberFormat="0" applyBorder="0" applyAlignment="0" applyProtection="0"/>
    <xf numFmtId="0" fontId="36" fillId="0" borderId="0"/>
    <xf numFmtId="0" fontId="39" fillId="0" borderId="14" applyNumberFormat="0" applyProtection="0">
      <alignment wrapText="1"/>
    </xf>
    <xf numFmtId="0" fontId="37" fillId="0" borderId="15" applyNumberFormat="0" applyFont="0" applyFill="0" applyProtection="0">
      <alignment wrapText="1"/>
    </xf>
    <xf numFmtId="0" fontId="39" fillId="0" borderId="16" applyNumberFormat="0" applyFill="0" applyProtection="0">
      <alignment wrapText="1"/>
    </xf>
    <xf numFmtId="0" fontId="42" fillId="0" borderId="0" applyNumberFormat="0" applyProtection="0">
      <alignment horizontal="left"/>
    </xf>
    <xf numFmtId="0" fontId="43" fillId="0" borderId="0" applyNumberFormat="0" applyFill="0" applyBorder="0" applyAlignment="0" applyProtection="0"/>
  </cellStyleXfs>
  <cellXfs count="119">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 fontId="0" fillId="0" borderId="0" xfId="0" applyNumberFormat="1"/>
    <xf numFmtId="164" fontId="0" fillId="0" borderId="0" xfId="0" applyNumberFormat="1"/>
    <xf numFmtId="8" fontId="7" fillId="0" borderId="0" xfId="0" applyNumberFormat="1" applyFont="1"/>
    <xf numFmtId="8" fontId="0" fillId="0" borderId="0" xfId="0" applyNumberFormat="1"/>
    <xf numFmtId="9" fontId="0" fillId="0" borderId="0" xfId="0" applyNumberFormat="1"/>
    <xf numFmtId="165" fontId="0" fillId="0" borderId="0" xfId="0" applyNumberFormat="1"/>
    <xf numFmtId="3" fontId="0" fillId="0" borderId="0" xfId="0" applyNumberFormat="1"/>
    <xf numFmtId="0" fontId="0" fillId="0" borderId="0" xfId="0" applyAlignment="1">
      <alignment horizontal="right" vertical="center"/>
    </xf>
    <xf numFmtId="0" fontId="8" fillId="0" borderId="0" xfId="0" applyFont="1"/>
    <xf numFmtId="0" fontId="0" fillId="0" borderId="0" xfId="0" applyAlignment="1">
      <alignment horizontal="right"/>
    </xf>
    <xf numFmtId="0" fontId="9" fillId="0" borderId="0" xfId="0" applyFont="1"/>
    <xf numFmtId="10" fontId="0" fillId="0" borderId="0" xfId="0" applyNumberFormat="1"/>
    <xf numFmtId="8" fontId="10" fillId="0" borderId="0" xfId="0" applyNumberFormat="1" applyFont="1"/>
    <xf numFmtId="0" fontId="10" fillId="0" borderId="0" xfId="0" applyFont="1"/>
    <xf numFmtId="0" fontId="0" fillId="0" borderId="0" xfId="0" applyAlignment="1">
      <alignment wrapText="1"/>
    </xf>
    <xf numFmtId="16" fontId="0" fillId="0" borderId="0" xfId="0" applyNumberFormat="1"/>
    <xf numFmtId="8" fontId="0" fillId="0" borderId="0" xfId="0" applyNumberFormat="1" applyAlignment="1">
      <alignment wrapText="1"/>
    </xf>
    <xf numFmtId="0" fontId="0" fillId="2" borderId="0" xfId="0" applyFill="1"/>
    <xf numFmtId="3" fontId="0" fillId="2" borderId="0" xfId="0" applyNumberFormat="1" applyFill="1"/>
    <xf numFmtId="0" fontId="11" fillId="0" borderId="0" xfId="0" applyFont="1" applyAlignment="1">
      <alignment vertical="center"/>
    </xf>
    <xf numFmtId="6" fontId="0" fillId="0" borderId="0" xfId="0" applyNumberFormat="1"/>
    <xf numFmtId="6" fontId="0" fillId="0" borderId="0" xfId="0" applyNumberFormat="1" applyAlignment="1">
      <alignment wrapText="1"/>
    </xf>
    <xf numFmtId="164" fontId="10" fillId="0" borderId="0" xfId="0" applyNumberFormat="1" applyFont="1"/>
    <xf numFmtId="0" fontId="0" fillId="0" borderId="0" xfId="0" applyAlignment="1">
      <alignment vertical="top" wrapText="1"/>
    </xf>
    <xf numFmtId="166" fontId="0" fillId="0" borderId="0" xfId="0" applyNumberFormat="1"/>
    <xf numFmtId="167" fontId="0" fillId="0" borderId="0" xfId="0" applyNumberFormat="1"/>
    <xf numFmtId="168" fontId="0" fillId="0" borderId="0" xfId="0" applyNumberFormat="1"/>
    <xf numFmtId="164" fontId="9" fillId="0" borderId="0" xfId="0" applyNumberFormat="1" applyFont="1"/>
    <xf numFmtId="42" fontId="9" fillId="0" borderId="0" xfId="0" applyNumberFormat="1" applyFont="1"/>
    <xf numFmtId="42"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164" fontId="13" fillId="4" borderId="0" xfId="3" applyNumberFormat="1"/>
    <xf numFmtId="10" fontId="13" fillId="4" borderId="0" xfId="3" applyNumberFormat="1"/>
    <xf numFmtId="9" fontId="0" fillId="0" borderId="0" xfId="0" applyNumberFormat="1" applyAlignment="1">
      <alignment vertical="top"/>
    </xf>
    <xf numFmtId="0" fontId="16" fillId="0" borderId="0" xfId="0" applyFont="1"/>
    <xf numFmtId="0" fontId="9" fillId="0" borderId="0" xfId="0" applyFont="1" applyAlignment="1">
      <alignment horizontal="right"/>
    </xf>
    <xf numFmtId="0" fontId="15" fillId="6" borderId="1" xfId="5"/>
    <xf numFmtId="1" fontId="15" fillId="6" borderId="1" xfId="5" applyNumberFormat="1"/>
    <xf numFmtId="164" fontId="15" fillId="6" borderId="1" xfId="5" applyNumberFormat="1"/>
    <xf numFmtId="0" fontId="17" fillId="7" borderId="0" xfId="3" applyFont="1" applyFill="1"/>
    <xf numFmtId="3" fontId="15" fillId="6" borderId="1" xfId="5" applyNumberFormat="1"/>
    <xf numFmtId="8" fontId="15" fillId="6" borderId="1" xfId="5" applyNumberFormat="1"/>
    <xf numFmtId="164" fontId="10" fillId="8" borderId="0" xfId="0" applyNumberFormat="1" applyFont="1" applyFill="1"/>
    <xf numFmtId="38" fontId="0" fillId="0" borderId="0" xfId="0" applyNumberFormat="1" applyAlignment="1">
      <alignment horizontal="center"/>
    </xf>
    <xf numFmtId="9" fontId="0" fillId="0" borderId="0" xfId="0" applyNumberFormat="1" applyAlignment="1">
      <alignment wrapText="1"/>
    </xf>
    <xf numFmtId="0" fontId="0" fillId="0" borderId="0" xfId="0" applyAlignment="1">
      <alignment horizontal="right" vertical="center" wrapText="1"/>
    </xf>
    <xf numFmtId="0" fontId="0" fillId="0" borderId="0" xfId="0" applyAlignment="1">
      <alignment vertical="center" wrapText="1"/>
    </xf>
    <xf numFmtId="4" fontId="0" fillId="0" borderId="0" xfId="0" applyNumberFormat="1"/>
    <xf numFmtId="10" fontId="13" fillId="4" borderId="0" xfId="3" quotePrefix="1" applyNumberFormat="1" applyAlignment="1">
      <alignment wrapText="1"/>
    </xf>
    <xf numFmtId="0" fontId="20" fillId="0" borderId="0" xfId="0" applyFont="1" applyAlignment="1">
      <alignment vertical="top" wrapText="1"/>
    </xf>
    <xf numFmtId="0" fontId="0" fillId="8" borderId="0" xfId="0" applyFill="1"/>
    <xf numFmtId="1" fontId="0" fillId="8" borderId="0" xfId="0" applyNumberFormat="1" applyFill="1"/>
    <xf numFmtId="0" fontId="0" fillId="8" borderId="0" xfId="0" applyFill="1" applyAlignment="1">
      <alignment vertical="center"/>
    </xf>
    <xf numFmtId="0" fontId="15" fillId="6" borderId="2" xfId="5" applyBorder="1"/>
    <xf numFmtId="0" fontId="10" fillId="0" borderId="0" xfId="0" applyFont="1" applyAlignment="1">
      <alignment horizontal="right" vertical="center"/>
    </xf>
    <xf numFmtId="8" fontId="15" fillId="0" borderId="1" xfId="5" applyNumberFormat="1" applyFill="1"/>
    <xf numFmtId="164" fontId="0" fillId="9" borderId="0" xfId="0" applyNumberFormat="1" applyFill="1"/>
    <xf numFmtId="0" fontId="10" fillId="0" borderId="0" xfId="0" applyFont="1" applyAlignment="1">
      <alignment horizontal="center" vertical="center" wrapText="1"/>
    </xf>
    <xf numFmtId="9" fontId="10" fillId="0" borderId="0" xfId="0" applyNumberFormat="1" applyFont="1"/>
    <xf numFmtId="0" fontId="10" fillId="0" borderId="0" xfId="0" applyFont="1" applyAlignment="1">
      <alignment wrapText="1"/>
    </xf>
    <xf numFmtId="4" fontId="15" fillId="6" borderId="0" xfId="5" applyNumberFormat="1" applyBorder="1"/>
    <xf numFmtId="9" fontId="12" fillId="0" borderId="0" xfId="2" applyNumberFormat="1" applyFill="1"/>
    <xf numFmtId="164" fontId="13" fillId="0" borderId="0" xfId="3" applyNumberFormat="1" applyFill="1"/>
    <xf numFmtId="164" fontId="14" fillId="0" borderId="0" xfId="4" applyNumberFormat="1" applyFill="1"/>
    <xf numFmtId="10" fontId="6" fillId="0" borderId="0" xfId="1" applyNumberFormat="1" applyFill="1"/>
    <xf numFmtId="6" fontId="0" fillId="0" borderId="0" xfId="0" applyNumberFormat="1" applyAlignment="1">
      <alignment vertical="center" wrapText="1"/>
    </xf>
    <xf numFmtId="3" fontId="15" fillId="0" borderId="1" xfId="5" applyNumberFormat="1" applyFill="1"/>
    <xf numFmtId="0" fontId="10" fillId="0" borderId="0" xfId="0" applyFont="1" applyAlignment="1">
      <alignment vertical="top" wrapText="1"/>
    </xf>
    <xf numFmtId="0" fontId="0" fillId="10" borderId="0" xfId="0" applyFill="1"/>
    <xf numFmtId="164" fontId="0" fillId="10" borderId="0" xfId="0" applyNumberFormat="1" applyFill="1"/>
    <xf numFmtId="0" fontId="0" fillId="10" borderId="0" xfId="0" applyFill="1" applyAlignment="1">
      <alignment vertical="top" wrapText="1"/>
    </xf>
    <xf numFmtId="164" fontId="14" fillId="10" borderId="0" xfId="4" applyNumberFormat="1" applyFill="1"/>
    <xf numFmtId="10" fontId="6" fillId="10" borderId="0" xfId="1" applyNumberFormat="1" applyFill="1"/>
    <xf numFmtId="6" fontId="0" fillId="10" borderId="0" xfId="0" applyNumberFormat="1" applyFill="1" applyAlignment="1">
      <alignment vertical="center" wrapText="1"/>
    </xf>
    <xf numFmtId="1" fontId="0" fillId="10" borderId="0" xfId="0" applyNumberFormat="1" applyFill="1"/>
    <xf numFmtId="0" fontId="16" fillId="10" borderId="0" xfId="0" applyFont="1" applyFill="1"/>
    <xf numFmtId="9" fontId="0" fillId="10" borderId="0" xfId="0" applyNumberFormat="1" applyFill="1"/>
    <xf numFmtId="9" fontId="0" fillId="10" borderId="0" xfId="0" applyNumberFormat="1" applyFill="1" applyAlignment="1">
      <alignment vertical="top"/>
    </xf>
    <xf numFmtId="0" fontId="0" fillId="10" borderId="0" xfId="0" applyFill="1" applyAlignment="1">
      <alignment wrapText="1"/>
    </xf>
    <xf numFmtId="3" fontId="15" fillId="6" borderId="0" xfId="5" applyNumberFormat="1" applyBorder="1"/>
    <xf numFmtId="164" fontId="0" fillId="8" borderId="0" xfId="0" applyNumberFormat="1" applyFill="1" applyAlignment="1">
      <alignment horizontal="right" vertical="center"/>
    </xf>
    <xf numFmtId="164" fontId="15" fillId="0" borderId="1" xfId="5" applyNumberFormat="1" applyFill="1"/>
    <xf numFmtId="164" fontId="0" fillId="0" borderId="0" xfId="0" applyNumberFormat="1" applyAlignment="1">
      <alignment horizontal="right" vertical="center"/>
    </xf>
    <xf numFmtId="0" fontId="0" fillId="11" borderId="0" xfId="0" applyFill="1"/>
    <xf numFmtId="164" fontId="0" fillId="11" borderId="0" xfId="0" applyNumberFormat="1" applyFill="1"/>
    <xf numFmtId="0" fontId="0" fillId="11" borderId="0" xfId="0" applyFill="1" applyAlignment="1">
      <alignment vertical="top" wrapText="1"/>
    </xf>
    <xf numFmtId="164" fontId="14" fillId="11" borderId="0" xfId="4" applyNumberFormat="1" applyFill="1"/>
    <xf numFmtId="10" fontId="6" fillId="11" borderId="0" xfId="1" applyNumberFormat="1" applyFill="1"/>
    <xf numFmtId="6" fontId="0" fillId="11" borderId="0" xfId="0" applyNumberFormat="1" applyFill="1" applyAlignment="1">
      <alignment vertical="center" wrapText="1"/>
    </xf>
    <xf numFmtId="1" fontId="0" fillId="11" borderId="0" xfId="0" applyNumberFormat="1" applyFill="1"/>
    <xf numFmtId="166" fontId="0" fillId="0" borderId="0" xfId="0" applyNumberFormat="1" applyAlignment="1">
      <alignment vertical="center"/>
    </xf>
    <xf numFmtId="0" fontId="10" fillId="0" borderId="0" xfId="0" applyFont="1" applyAlignment="1">
      <alignment horizontal="center" vertical="top" wrapText="1"/>
    </xf>
    <xf numFmtId="164" fontId="0" fillId="0" borderId="0" xfId="0" applyNumberFormat="1" applyAlignment="1">
      <alignment vertical="top" wrapText="1"/>
    </xf>
    <xf numFmtId="0" fontId="10" fillId="0" borderId="0" xfId="0" applyFont="1" applyAlignment="1">
      <alignment horizontal="left" vertical="top" wrapText="1"/>
    </xf>
    <xf numFmtId="6" fontId="0" fillId="0" borderId="0" xfId="0" applyNumberFormat="1" applyAlignment="1">
      <alignment vertical="top" wrapText="1"/>
    </xf>
    <xf numFmtId="0" fontId="15" fillId="0" borderId="0" xfId="5" applyFill="1" applyBorder="1"/>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wrapText="1"/>
    </xf>
    <xf numFmtId="168" fontId="45" fillId="0" borderId="11" xfId="42" applyNumberFormat="1" applyFont="1" applyAlignment="1">
      <alignment horizontal="right" wrapText="1"/>
    </xf>
    <xf numFmtId="0" fontId="45" fillId="0" borderId="11" xfId="42" applyFont="1">
      <alignment wrapText="1"/>
    </xf>
    <xf numFmtId="3" fontId="45" fillId="0" borderId="11" xfId="42" applyNumberFormat="1" applyFont="1" applyAlignment="1">
      <alignment horizontal="right" wrapText="1"/>
    </xf>
    <xf numFmtId="1" fontId="45" fillId="0" borderId="11" xfId="42" applyNumberFormat="1" applyFont="1" applyAlignment="1">
      <alignment horizontal="right" wrapText="1"/>
    </xf>
    <xf numFmtId="3" fontId="44" fillId="0" borderId="3" xfId="47" applyNumberFormat="1" applyFont="1" applyAlignment="1">
      <alignment horizontal="right" wrapText="1"/>
    </xf>
    <xf numFmtId="0" fontId="44" fillId="0" borderId="3" xfId="47" applyFont="1" applyAlignment="1">
      <alignment horizontal="right" wrapText="1"/>
    </xf>
    <xf numFmtId="2" fontId="0" fillId="0" borderId="0" xfId="0" applyNumberFormat="1"/>
    <xf numFmtId="169" fontId="0" fillId="0" borderId="0" xfId="0" applyNumberFormat="1"/>
    <xf numFmtId="17" fontId="0" fillId="0" borderId="0" xfId="0" applyNumberFormat="1"/>
    <xf numFmtId="170" fontId="0" fillId="0" borderId="0" xfId="0" applyNumberFormat="1"/>
  </cellXfs>
  <cellStyles count="57">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2" xfId="36" xr:uid="{7D2C3417-3504-466E-B72E-6F1B0926F7D2}"/>
    <cellStyle name="60% - Accent2 2" xfId="37" xr:uid="{A288F2A4-9151-4F50-B8D5-B900926243A7}"/>
    <cellStyle name="60% - Accent3 2" xfId="38" xr:uid="{D9053AAD-58C2-4630-8C61-568BDADF8B69}"/>
    <cellStyle name="60% - Accent4 2" xfId="39" xr:uid="{0A3F899B-BA78-4301-A778-BA3A566CAE1C}"/>
    <cellStyle name="60% - Accent5 2" xfId="40" xr:uid="{2D0D1571-2A6E-443F-BA78-F4B3AFAEF8DA}"/>
    <cellStyle name="60% - Accent6 2" xfId="41" xr:uid="{A06B15F1-5BD2-4FBD-9C89-81C6D064EBC9}"/>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2" builtinId="27" customBuiltin="1"/>
    <cellStyle name="Body: normal cell" xfId="42" xr:uid="{C5014AEF-4E50-4938-A9B7-8B967D66C68E}"/>
    <cellStyle name="Calculation" xfId="11" builtinId="22" customBuiltin="1"/>
    <cellStyle name="Check Cell" xfId="13" builtinId="23" customBuiltin="1"/>
    <cellStyle name="Explanatory Text" xfId="16" builtinId="53" customBuiltin="1"/>
    <cellStyle name="Followed Hyperlink 2" xfId="43" xr:uid="{BE0AFA91-142E-44CA-9637-A0CBF98C7A19}"/>
    <cellStyle name="Font: Calibri, 9pt regular" xfId="44" xr:uid="{A79E234A-050C-4D43-B33D-6D9CA8B308E6}"/>
    <cellStyle name="Footnotes: all except top row" xfId="45" xr:uid="{95A481E1-A34F-457F-95F8-861E9FC08B24}"/>
    <cellStyle name="Footnotes: top row" xfId="46" xr:uid="{8427BDB1-A9E9-45F9-A08F-625C21A6C059}"/>
    <cellStyle name="Good" xfId="3" builtinId="26" customBuiltin="1"/>
    <cellStyle name="Header: bottom row" xfId="47" xr:uid="{E7B0B9C3-8698-40EE-9FF9-BBA79A3577ED}"/>
    <cellStyle name="Header: top rows" xfId="48" xr:uid="{B80568A1-2081-40FA-A8C4-D0C598E61A7D}"/>
    <cellStyle name="Heading 1" xfId="6" builtinId="16" customBuiltin="1"/>
    <cellStyle name="Heading 2" xfId="7" builtinId="17" customBuiltin="1"/>
    <cellStyle name="Heading 3" xfId="8" builtinId="18" customBuiltin="1"/>
    <cellStyle name="Heading 4" xfId="9" builtinId="19" customBuiltin="1"/>
    <cellStyle name="Hyperlink" xfId="1" builtinId="8"/>
    <cellStyle name="Hyperlink 2" xfId="49" xr:uid="{8B8E3F25-217D-4220-A590-7825D860ED17}"/>
    <cellStyle name="Input" xfId="5" builtinId="20" customBuiltin="1"/>
    <cellStyle name="Linked Cell" xfId="12" builtinId="24" customBuiltin="1"/>
    <cellStyle name="Neutral" xfId="4" builtinId="28"/>
    <cellStyle name="Neutral 2" xfId="50" xr:uid="{0D2971D3-05A7-4177-90AE-F0FC1ABC2411}"/>
    <cellStyle name="Normal" xfId="0" builtinId="0"/>
    <cellStyle name="Normal 2" xfId="51" xr:uid="{23C6B510-63E1-428C-A872-54E9406F3472}"/>
    <cellStyle name="Note" xfId="15" builtinId="10" customBuiltin="1"/>
    <cellStyle name="Output" xfId="10" builtinId="21" customBuiltin="1"/>
    <cellStyle name="Parent row" xfId="52" xr:uid="{8942ECE6-3BE6-461F-9A1E-AC98C77334F4}"/>
    <cellStyle name="Section Break" xfId="53" xr:uid="{B4C2F037-5916-464C-8899-D21ADA028390}"/>
    <cellStyle name="Section Break: parent row" xfId="54" xr:uid="{D5C67925-C68C-43B5-A8BE-E4405C60B97C}"/>
    <cellStyle name="Table title" xfId="55" xr:uid="{2324024D-7885-4D6B-88B9-68327E1DE216}"/>
    <cellStyle name="Title 2" xfId="56" xr:uid="{3F58784C-1290-4D15-AD48-364DAD0A6880}"/>
    <cellStyle name="Total" xfId="17" builtinId="25" customBuiltin="1"/>
    <cellStyle name="Warning Text" xfId="14" builtinId="11" customBuiltin="1"/>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A1733B82-59B0-42B8-92A0-ADBAD1136664}">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76199</xdr:rowOff>
    </xdr:from>
    <xdr:to>
      <xdr:col>4</xdr:col>
      <xdr:colOff>247650</xdr:colOff>
      <xdr:row>41</xdr:row>
      <xdr:rowOff>171449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7700" y="933449"/>
          <a:ext cx="6457950" cy="747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section describes how the conclusions stated above were developed in a spreadsheet.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assess the economic acceptability of the cost of bird safe glass this spreadsheeet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was developed which includes ten (10) variables: These include  (1) the building height, width and depth, (2) the construction costs per square feet, (3) the size of the windows, (4) the number of windows per floor  and (5) the cost of standard glass.  There is an accompanying Backgrond</a:t>
          </a:r>
          <a:r>
            <a:rPr lang="en-US" sz="1100" baseline="0">
              <a:solidFill>
                <a:schemeClr val="dk1"/>
              </a:solidFill>
              <a:effectLst/>
              <a:latin typeface="+mn-lt"/>
              <a:ea typeface="+mn-ea"/>
              <a:cs typeface="+mn-cs"/>
            </a:rPr>
            <a:t> document.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Why Scenarios and Not Actual Costs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actual added cost of bird-safe glass depends on a number of factors.  There are many types of glass.  The added cost of all of these glass types is not available from the manufacturers, except to architects pricing a particular project.  In order to assess the affordability of bird safe glass it is not necessary to know the exact added costs of bird-safe glass.  Instead, one can begin with a cost of standard commercial glass and multiply it by 10, 25 and 50% to ascertain the range of added cost.  (I</a:t>
          </a:r>
          <a:r>
            <a:rPr lang="en-US" sz="1100" baseline="0">
              <a:solidFill>
                <a:schemeClr val="dk1"/>
              </a:solidFill>
              <a:effectLst/>
              <a:latin typeface="+mn-lt"/>
              <a:ea typeface="+mn-ea"/>
              <a:cs typeface="+mn-cs"/>
            </a:rPr>
            <a:t> ahve aadded 10% to cover increased fabrication cost at C38-C40.)</a:t>
          </a:r>
          <a:r>
            <a:rPr lang="en-US" sz="1100">
              <a:solidFill>
                <a:schemeClr val="dk1"/>
              </a:solidFill>
              <a:effectLst/>
              <a:latin typeface="+mn-lt"/>
              <a:ea typeface="+mn-ea"/>
              <a:cs typeface="+mn-cs"/>
            </a:rPr>
            <a:t> This range was approved by industry experts.  The use of scenarios in this way is a standard procedure used in policy development when exact costs are not known.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costs and results of these scenarios were compared to the estimated </a:t>
          </a:r>
          <a:r>
            <a:rPr lang="en-US" sz="1100" u="sng">
              <a:solidFill>
                <a:schemeClr val="dk1"/>
              </a:solidFill>
              <a:effectLst/>
              <a:latin typeface="+mn-lt"/>
              <a:ea typeface="+mn-ea"/>
              <a:cs typeface="+mn-cs"/>
            </a:rPr>
            <a:t>cost of </a:t>
          </a:r>
          <a:r>
            <a:rPr lang="en-US" sz="11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a library with bird-safe glass and one without using current price quotes</a:t>
          </a:r>
          <a:r>
            <a:rPr lang="en-US" sz="1100" u="sng">
              <a:solidFill>
                <a:sysClr val="windowText" lastClr="000000"/>
              </a:solidFill>
              <a:effectLst/>
              <a:latin typeface="+mn-lt"/>
              <a:ea typeface="+mn-ea"/>
              <a:cs typeface="+mn-cs"/>
            </a:rPr>
            <a:t>.    </a:t>
          </a:r>
          <a:r>
            <a:rPr lang="en-US" sz="1100">
              <a:solidFill>
                <a:schemeClr val="dk1"/>
              </a:solidFill>
              <a:effectLst/>
              <a:latin typeface="+mn-lt"/>
              <a:ea typeface="+mn-ea"/>
              <a:cs typeface="+mn-cs"/>
            </a:rPr>
            <a:t>Using actual costs, the added cost of bird-safe glass is 0.17% and using the scenario approach it is 0.15%. D58  See worksheet "Case</a:t>
          </a:r>
          <a:r>
            <a:rPr lang="en-US" sz="1100" baseline="0">
              <a:solidFill>
                <a:schemeClr val="dk1"/>
              </a:solidFill>
              <a:effectLst/>
              <a:latin typeface="+mn-lt"/>
              <a:ea typeface="+mn-ea"/>
              <a:cs typeface="+mn-cs"/>
            </a:rPr>
            <a:t> Study." This analysis assumed that the UV glass was 50% more costly.</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effectLst/>
              <a:latin typeface="+mn-lt"/>
              <a:ea typeface="+mn-ea"/>
              <a:cs typeface="+mn-cs"/>
            </a:rPr>
            <a:t>Medium Building Scenario</a:t>
          </a:r>
          <a:r>
            <a:rPr lang="en-US" sz="1100">
              <a:solidFill>
                <a:schemeClr val="dk1"/>
              </a:solidFill>
              <a:effectLst/>
              <a:latin typeface="+mn-lt"/>
              <a:ea typeface="+mn-ea"/>
              <a:cs typeface="+mn-cs"/>
            </a:rPr>
            <a:t> The first scenario is </a:t>
          </a:r>
          <a:r>
            <a:rPr lang="en-US" sz="1100" u="sng">
              <a:solidFill>
                <a:schemeClr val="dk1"/>
              </a:solidFill>
              <a:effectLst/>
              <a:latin typeface="+mn-lt"/>
              <a:ea typeface="+mn-ea"/>
              <a:cs typeface="+mn-cs"/>
            </a:rPr>
            <a:t>a </a:t>
          </a:r>
          <a:r>
            <a:rPr lang="en-US" sz="11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medium sized building</a:t>
          </a:r>
          <a:r>
            <a:rPr lang="en-US" sz="1100" u="sng">
              <a:solidFill>
                <a:sysClr val="windowText" lastClr="000000"/>
              </a:solidFill>
              <a:effectLst/>
              <a:latin typeface="+mn-lt"/>
              <a:ea typeface="+mn-ea"/>
              <a:cs typeface="+mn-cs"/>
            </a:rPr>
            <a:t> </a:t>
          </a:r>
          <a:r>
            <a:rPr lang="en-US" sz="1100">
              <a:solidFill>
                <a:schemeClr val="dk1"/>
              </a:solidFill>
              <a:effectLst/>
              <a:latin typeface="+mn-lt"/>
              <a:ea typeface="+mn-ea"/>
              <a:cs typeface="+mn-cs"/>
            </a:rPr>
            <a:t>125 ft high by 60 feet wide and deep. It was assumed that either the entire front or 4 all sides were entirely covered with windows. This scenario assumes that standard commercial glass cost $25 per square foot. (This price is frequently appears in advertising.)   The construction cost was assumed to be $562/sq. ft. which is typical of a mid-rise building. </a:t>
          </a:r>
          <a:r>
            <a:rPr lang="en-US" sz="1100" u="sng">
              <a:solidFill>
                <a:schemeClr val="dk1"/>
              </a:solidFill>
              <a:effectLst/>
              <a:latin typeface="+mn-lt"/>
              <a:ea typeface="+mn-ea"/>
              <a:cs typeface="+mn-cs"/>
              <a:hlinkClick xmlns:r="http://schemas.openxmlformats.org/officeDocument/2006/relationships" r:id=""/>
            </a:rPr>
            <a:t>https://www.levelset.com/blog/commercial-construction-cost-per-square-foot/#Commercial_office_space</a:t>
          </a:r>
          <a:r>
            <a:rPr lang="en-US" sz="1100" u="sng">
              <a:solidFill>
                <a:schemeClr val="dk1"/>
              </a:solidFill>
              <a:effectLst/>
              <a:latin typeface="+mn-lt"/>
              <a:ea typeface="+mn-ea"/>
              <a:cs typeface="+mn-cs"/>
            </a:rPr>
            <a:t>  </a:t>
          </a:r>
          <a:r>
            <a:rPr lang="en-US" sz="1100" u="none">
              <a:solidFill>
                <a:schemeClr val="dk1"/>
              </a:solidFill>
              <a:effectLst/>
              <a:latin typeface="+mn-lt"/>
              <a:ea typeface="+mn-ea"/>
              <a:cs typeface="+mn-cs"/>
            </a:rPr>
            <a:t>The</a:t>
          </a:r>
          <a:r>
            <a:rPr lang="en-US" sz="1100" u="none" baseline="0">
              <a:solidFill>
                <a:schemeClr val="dk1"/>
              </a:solidFill>
              <a:effectLst/>
              <a:latin typeface="+mn-lt"/>
              <a:ea typeface="+mn-ea"/>
              <a:cs typeface="+mn-cs"/>
            </a:rPr>
            <a:t> results are shown in columns C-D and N0 </a:t>
          </a:r>
          <a:r>
            <a:rPr lang="en-US" sz="1100" baseline="0">
              <a:solidFill>
                <a:schemeClr val="dk1"/>
              </a:solidFill>
              <a:effectLst/>
              <a:latin typeface="+mn-lt"/>
              <a:ea typeface="+mn-ea"/>
              <a:cs typeface="+mn-cs"/>
            </a:rPr>
            <a:t>in the base worksheet. (see worksheet "bldgcostsqfeet" for amny other building types.)</a:t>
          </a:r>
          <a:endParaRPr lang="en-US">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u="sng">
              <a:solidFill>
                <a:schemeClr val="dk1"/>
              </a:solidFill>
              <a:effectLst/>
              <a:latin typeface="+mn-lt"/>
              <a:ea typeface="+mn-ea"/>
              <a:cs typeface="+mn-cs"/>
            </a:rPr>
            <a:t>Large Building Scenario</a:t>
          </a:r>
          <a:r>
            <a:rPr lang="en-US" sz="1100">
              <a:solidFill>
                <a:schemeClr val="dk1"/>
              </a:solidFill>
              <a:effectLst/>
              <a:latin typeface="+mn-lt"/>
              <a:ea typeface="+mn-ea"/>
              <a:cs typeface="+mn-cs"/>
            </a:rPr>
            <a:t> The second scenario is a building twice the size of the midrise -- 250 feet high and 18 stories, by 120 wide and 120 deep. In this instance unsafe glass was assumed to cost $50 sq. ft. The building cost is $660 per square foot -  typical cost for high rises.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added cost of the bird-safe glass for the floors needing bird safe glass was computed and compared to (1) the overall cost of the building, (2) the expected cost overruns, and (3) the expected variability in construction costs. The</a:t>
          </a:r>
          <a:r>
            <a:rPr lang="en-US" sz="1100" baseline="0">
              <a:solidFill>
                <a:schemeClr val="dk1"/>
              </a:solidFill>
              <a:effectLst/>
              <a:latin typeface="+mn-lt"/>
              <a:ea typeface="+mn-ea"/>
              <a:cs typeface="+mn-cs"/>
            </a:rPr>
            <a:t> results are shown n columns R-T and W-Y in the base worksheet.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Estimated Costs vs. Negotiated Costs.</a:t>
          </a:r>
          <a:r>
            <a:rPr lang="en-US" sz="1100">
              <a:solidFill>
                <a:schemeClr val="dk1"/>
              </a:solidFill>
              <a:effectLst/>
              <a:latin typeface="+mn-lt"/>
              <a:ea typeface="+mn-ea"/>
              <a:cs typeface="+mn-cs"/>
            </a:rPr>
            <a:t> Of course, the estimated costs are designed to provide an overall assessment of the acceptability of bird safe glass are different than the costs negotiated between the window supplier and the contractor for an installed window. As noted this tool produces results very close to actual comparisons of the cost of bird safe vs. unsafe windows.</a:t>
          </a:r>
        </a:p>
        <a:p>
          <a:endParaRPr lang="en-US" sz="1100"/>
        </a:p>
      </xdr:txBody>
    </xdr:sp>
    <xdr:clientData/>
  </xdr:twoCellAnchor>
  <xdr:oneCellAnchor>
    <xdr:from>
      <xdr:col>0</xdr:col>
      <xdr:colOff>571500</xdr:colOff>
      <xdr:row>45</xdr:row>
      <xdr:rowOff>104775</xdr:rowOff>
    </xdr:from>
    <xdr:ext cx="6715125" cy="5715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1500" y="9105900"/>
          <a:ext cx="6715125" cy="5715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u="sng">
              <a:solidFill>
                <a:schemeClr val="tx1"/>
              </a:solidFill>
              <a:effectLst/>
              <a:latin typeface="+mn-lt"/>
              <a:ea typeface="+mn-ea"/>
              <a:cs typeface="+mn-cs"/>
            </a:rPr>
            <a:t>Construction cost per square foot.   </a:t>
          </a:r>
          <a:r>
            <a:rPr lang="en-US" sz="1100">
              <a:solidFill>
                <a:schemeClr val="tx1"/>
              </a:solidFill>
              <a:effectLst/>
              <a:latin typeface="+mn-lt"/>
              <a:ea typeface="+mn-ea"/>
              <a:cs typeface="+mn-cs"/>
            </a:rPr>
            <a:t>I have used national averages.  The cost varies depending on the height of the building and many other factors.  In many areas these costs are public knowledge.  The planning department will know the costs.  If you know the overall cost of the building, it is not necessary to find the costs.  The cost can be entered at C35.</a:t>
          </a:r>
        </a:p>
        <a:p>
          <a:r>
            <a:rPr lang="en-US" sz="1100">
              <a:solidFill>
                <a:schemeClr val="tx1"/>
              </a:solidFill>
              <a:effectLst/>
              <a:latin typeface="+mn-lt"/>
              <a:ea typeface="+mn-ea"/>
              <a:cs typeface="+mn-cs"/>
            </a:rPr>
            <a:t> </a:t>
          </a:r>
        </a:p>
        <a:p>
          <a:r>
            <a:rPr lang="en-US" sz="1100" u="sng">
              <a:solidFill>
                <a:schemeClr val="tx1"/>
              </a:solidFill>
              <a:effectLst/>
              <a:latin typeface="+mn-lt"/>
              <a:ea typeface="+mn-ea"/>
              <a:cs typeface="+mn-cs"/>
            </a:rPr>
            <a:t>Safe height in feet.  </a:t>
          </a:r>
          <a:r>
            <a:rPr lang="en-US" sz="1100">
              <a:solidFill>
                <a:schemeClr val="tx1"/>
              </a:solidFill>
              <a:effectLst/>
              <a:latin typeface="+mn-lt"/>
              <a:ea typeface="+mn-ea"/>
              <a:cs typeface="+mn-cs"/>
            </a:rPr>
            <a:t>Under a proposed building ordinance or an existing one, bird safe glass should  be used on the first 100 feet.   This height is critical for two reasons.  First, about 99% of bird window collisions occur below this level.  Second, because it limits the cost of bird safe glass.  In some areas it is lower -- often 50' -- which lowers the bird safe cost/building cost relationship even more attractive but means more bird deaths.  As shown in C66- D68 are only 0.07% to 0.37%.   The</a:t>
          </a:r>
          <a:r>
            <a:rPr lang="en-US" sz="1100" baseline="0">
              <a:solidFill>
                <a:schemeClr val="tx1"/>
              </a:solidFill>
              <a:effectLst/>
              <a:latin typeface="+mn-lt"/>
              <a:ea typeface="+mn-ea"/>
              <a:cs typeface="+mn-cs"/>
            </a:rPr>
            <a:t> added bird deaths clearly outweigh the added cost.</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b="0" u="sng">
              <a:solidFill>
                <a:schemeClr val="tx1"/>
              </a:solidFill>
              <a:effectLst/>
              <a:latin typeface="+mn-lt"/>
              <a:ea typeface="+mn-ea"/>
              <a:cs typeface="+mn-cs"/>
            </a:rPr>
            <a:t>Amount of glass. </a:t>
          </a:r>
          <a:r>
            <a:rPr lang="en-US" sz="1100">
              <a:solidFill>
                <a:schemeClr val="tx1"/>
              </a:solidFill>
              <a:effectLst/>
              <a:latin typeface="+mn-lt"/>
              <a:ea typeface="+mn-ea"/>
              <a:cs typeface="+mn-cs"/>
            </a:rPr>
            <a:t>The amount of glass overall needs to be estimated. It is not necessary to be exact.  If one knows the height and width of the building, the amount of glass can be estimated.  The</a:t>
          </a:r>
          <a:r>
            <a:rPr lang="en-US" sz="1100" baseline="0">
              <a:solidFill>
                <a:schemeClr val="tx1"/>
              </a:solidFill>
              <a:effectLst/>
              <a:latin typeface="+mn-lt"/>
              <a:ea typeface="+mn-ea"/>
              <a:cs typeface="+mn-cs"/>
            </a:rPr>
            <a:t> window size is not standard.  Used to compute building front which is all glass.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u="sng">
              <a:solidFill>
                <a:schemeClr val="tx1"/>
              </a:solidFill>
              <a:effectLst/>
              <a:latin typeface="+mn-lt"/>
              <a:ea typeface="+mn-ea"/>
              <a:cs typeface="+mn-cs"/>
            </a:rPr>
            <a:t>Glass Cost per Square Feet</a:t>
          </a:r>
          <a:r>
            <a:rPr lang="en-US" sz="1100">
              <a:solidFill>
                <a:schemeClr val="tx1"/>
              </a:solidFill>
              <a:effectLst/>
              <a:latin typeface="+mn-lt"/>
              <a:ea typeface="+mn-ea"/>
              <a:cs typeface="+mn-cs"/>
            </a:rPr>
            <a:t>.   It is not necessary to have an exact extra cost of bird-safe glass.  This is the advantage of the scenario approach.  For the medium height  building I started with glass costing $25/ sq. ft.  This price is quoted at many locations on the web.  The glass manufacturers are reticent to quote any price to the public. </a:t>
          </a:r>
          <a:r>
            <a:rPr lang="en-US" sz="1100" u="sng">
              <a:solidFill>
                <a:schemeClr val="tx1"/>
              </a:solidFill>
              <a:effectLst/>
              <a:latin typeface="+mn-lt"/>
              <a:ea typeface="+mn-ea"/>
              <a:cs typeface="+mn-cs"/>
            </a:rPr>
            <a:t>The key point is that even if the bird safe glass costs 50 % more the effect on the cost of the building is very small.  It increases the cost by 0.6%-- from 0.14% to 0.74 D58,59, and  60</a:t>
          </a:r>
          <a:r>
            <a:rPr lang="en-US" sz="1100">
              <a:solidFill>
                <a:schemeClr val="tx1"/>
              </a:solidFill>
              <a:effectLst/>
              <a:latin typeface="+mn-lt"/>
              <a:ea typeface="+mn-ea"/>
              <a:cs typeface="+mn-cs"/>
            </a:rPr>
            <a:t>.  See also the “Case Study” worksheet which assumed glass 50% more costly. Note that this amount is far less than the average cost overruns and the average variability in construction materials. A70-A77.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As the “Case Study” worksheet shows, the architects can obtain this information.  If you know the extra cost of bird safe glass you can enter at E39 and dispense with the scenarios.  </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Remember it is added cost of the bird safe glass that is relevant. In very large projects, such as the Javits Center, if the plans assume bird-safe glass, there may be no extra cost.  </a:t>
          </a:r>
        </a:p>
        <a:p>
          <a:r>
            <a:rPr lang="en-US" sz="1100">
              <a:solidFill>
                <a:schemeClr val="tx1"/>
              </a:solidFill>
              <a:effectLst/>
              <a:latin typeface="+mn-lt"/>
              <a:ea typeface="+mn-ea"/>
              <a:cs typeface="+mn-cs"/>
            </a:rPr>
            <a:t> </a:t>
          </a:r>
        </a:p>
        <a:p>
          <a:r>
            <a:rPr lang="en-US" sz="1100" u="sng">
              <a:solidFill>
                <a:schemeClr val="tx1"/>
              </a:solidFill>
              <a:effectLst/>
              <a:latin typeface="+mn-lt"/>
              <a:ea typeface="+mn-ea"/>
              <a:cs typeface="+mn-cs"/>
            </a:rPr>
            <a:t>Floor Height, Safe and Unsafe Floors  </a:t>
          </a:r>
          <a:r>
            <a:rPr lang="en-US" sz="1100">
              <a:solidFill>
                <a:schemeClr val="tx1"/>
              </a:solidFill>
              <a:effectLst/>
              <a:latin typeface="+mn-lt"/>
              <a:ea typeface="+mn-ea"/>
              <a:cs typeface="+mn-cs"/>
            </a:rPr>
            <a:t>These assumptions are used to compute the amount of sq/ft of glass overall, so that it can be compared to the added cost for bird safe glass in the first 100'.  I used 14', which I found was the average height of commercial buildings.  If in a particular case, if the height of a floor is different it does not matter -- as long as there is some way to determine the added cost of the part of the building requiring bird safe glass.</a:t>
          </a:r>
        </a:p>
        <a:p>
          <a:r>
            <a:rPr lang="en-US" sz="1100">
              <a:solidFill>
                <a:schemeClr val="tx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tx1"/>
            </a:solidFill>
            <a:effectLst/>
            <a:latin typeface="+mn-lt"/>
            <a:ea typeface="+mn-ea"/>
            <a:cs typeface="+mn-cs"/>
          </a:endParaRPr>
        </a:p>
        <a:p>
          <a:endParaRPr lang="en-US" sz="1100" b="0" baseline="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51</xdr:col>
      <xdr:colOff>438150</xdr:colOff>
      <xdr:row>30</xdr:row>
      <xdr:rowOff>64294</xdr:rowOff>
    </xdr:from>
    <xdr:to>
      <xdr:col>61</xdr:col>
      <xdr:colOff>161925</xdr:colOff>
      <xdr:row>47</xdr:row>
      <xdr:rowOff>142875</xdr:rowOff>
    </xdr:to>
    <xdr:pic>
      <xdr:nvPicPr>
        <xdr:cNvPr id="2" name="Picture 1" descr="7:09 PM Thu Aug 11 &#10;Made-in-China &#10;Connecting Buyers With Chinese Suppliers &#10;qdjinuo.en.made-in-china.com a &#10;Sign In Join Free For Buyer v &#10;Enter a keyword to search products &#10;For Supplier v &#10;NEW &#10;All Categories &#10;Products v &#10;70% &#10;O g Get Apps v English v &#10;@ Post Sourcing Request &#10;print This Page &#10;Home &gt; Construction &amp; Decoration &gt; Building Glass &gt; Tempered Glass &#10;Building Window Door Commercial Wall Clear &#10;Tempered Glass Price &#10;Reference FOB Price / Purchase &#10;OGet Latest Price &#10;O Favorites Share &#10;Qty. &#10;US $15 &#10;50-199 Square Meters &#10;US $12 &#10;500+ &#10;Square Meters &#10;Shape: &#10;Appearance: &#10;Standard: &#10;Steel Degree: &#10;Thickness of Flat &#10;Tempered Glass: &#10;Thickness of Curve &#10;US $14 &#10;200-499 Square Meters &#10;Flat &#10;Flat Tempered &#10;Forming &#10;Tempered Glass &#10;15MM &#10;IOMM &#10;Contact Supplier &#10;Mr. Jack &#10;General manager &#10;Contact Now &#10;Inquiry Basket &#10;Qingdao Jinuo New &#10;Materials Co., Ltd. &gt; &#10;G &#10;Gold Member Since 2018 &#10;O Audited Supplier ">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77950" y="6065044"/>
          <a:ext cx="5819775" cy="4364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84</xdr:row>
      <xdr:rowOff>0</xdr:rowOff>
    </xdr:from>
    <xdr:to>
      <xdr:col>37</xdr:col>
      <xdr:colOff>323850</xdr:colOff>
      <xdr:row>97</xdr:row>
      <xdr:rowOff>19050</xdr:rowOff>
    </xdr:to>
    <xdr:pic>
      <xdr:nvPicPr>
        <xdr:cNvPr id="3" name="Picture 2" descr="CONSTRlJCTlON cosT PER SQUARE FOOT (PSF) &#10;AVERAGE cosT PER SQUARE FOOT ΙΝ ΤΗΕ Ι-ΙΝΙΤΕΟ STATES &#10;341&quot; &#10;2 &#10;π ">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92650" y="9867900"/>
          <a:ext cx="4572000" cy="249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112</xdr:row>
      <xdr:rowOff>0</xdr:rowOff>
    </xdr:from>
    <xdr:to>
      <xdr:col>37</xdr:col>
      <xdr:colOff>326965</xdr:colOff>
      <xdr:row>124</xdr:row>
      <xdr:rowOff>38100</xdr:rowOff>
    </xdr:to>
    <xdr:pic>
      <xdr:nvPicPr>
        <xdr:cNvPr id="4" name="Picture 3" descr="Image result for Average commercial building siz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392650" y="15278100"/>
          <a:ext cx="4575115"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83</xdr:row>
      <xdr:rowOff>76200</xdr:rowOff>
    </xdr:from>
    <xdr:to>
      <xdr:col>31</xdr:col>
      <xdr:colOff>220926</xdr:colOff>
      <xdr:row>125</xdr:row>
      <xdr:rowOff>86867</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6934200" y="16002000"/>
          <a:ext cx="13260651" cy="8087867"/>
        </a:xfrm>
        <a:prstGeom prst="rect">
          <a:avLst/>
        </a:prstGeom>
      </xdr:spPr>
    </xdr:pic>
    <xdr:clientData/>
  </xdr:twoCellAnchor>
  <xdr:twoCellAnchor editAs="oneCell">
    <xdr:from>
      <xdr:col>42</xdr:col>
      <xdr:colOff>28576</xdr:colOff>
      <xdr:row>9</xdr:row>
      <xdr:rowOff>219075</xdr:rowOff>
    </xdr:from>
    <xdr:to>
      <xdr:col>46</xdr:col>
      <xdr:colOff>393490</xdr:colOff>
      <xdr:row>33</xdr:row>
      <xdr:rowOff>152399</xdr:rowOff>
    </xdr:to>
    <xdr:pic>
      <xdr:nvPicPr>
        <xdr:cNvPr id="9" name="Graphic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8032076" y="2762250"/>
          <a:ext cx="2803314" cy="5219699"/>
        </a:xfrm>
        <a:prstGeom prst="rect">
          <a:avLst/>
        </a:prstGeom>
      </xdr:spPr>
    </xdr:pic>
    <xdr:clientData/>
  </xdr:twoCellAnchor>
  <xdr:twoCellAnchor editAs="oneCell">
    <xdr:from>
      <xdr:col>35</xdr:col>
      <xdr:colOff>342900</xdr:colOff>
      <xdr:row>9</xdr:row>
      <xdr:rowOff>200025</xdr:rowOff>
    </xdr:from>
    <xdr:to>
      <xdr:col>40</xdr:col>
      <xdr:colOff>501146</xdr:colOff>
      <xdr:row>29</xdr:row>
      <xdr:rowOff>180974</xdr:rowOff>
    </xdr:to>
    <xdr:pic>
      <xdr:nvPicPr>
        <xdr:cNvPr id="5" name="Graphic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3945850" y="2743200"/>
          <a:ext cx="3339596" cy="43624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3</xdr:row>
      <xdr:rowOff>114300</xdr:rowOff>
    </xdr:to>
    <xdr:sp macro="" textlink="">
      <xdr:nvSpPr>
        <xdr:cNvPr id="9217" name="AutoShape 1" descr="U.S. Energy Information Administration - EIA - Independent Statistics and Analysis">
          <a:extLst>
            <a:ext uri="{FF2B5EF4-FFF2-40B4-BE49-F238E27FC236}">
              <a16:creationId xmlns:a16="http://schemas.microsoft.com/office/drawing/2014/main" id="{00000000-0008-0000-0300-000001240000}"/>
            </a:ext>
          </a:extLst>
        </xdr:cNvPr>
        <xdr:cNvSpPr>
          <a:spLocks noChangeAspect="1" noChangeArrowheads="1"/>
        </xdr:cNvSpPr>
      </xdr:nvSpPr>
      <xdr:spPr bwMode="auto">
        <a:xfrm>
          <a:off x="6096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10</xdr:col>
      <xdr:colOff>238924</xdr:colOff>
      <xdr:row>15</xdr:row>
      <xdr:rowOff>143396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9600" y="381000"/>
          <a:ext cx="5725324" cy="3734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47624</xdr:colOff>
      <xdr:row>5</xdr:row>
      <xdr:rowOff>190499</xdr:rowOff>
    </xdr:from>
    <xdr:to>
      <xdr:col>6</xdr:col>
      <xdr:colOff>47624</xdr:colOff>
      <xdr:row>31</xdr:row>
      <xdr:rowOff>85725</xdr:rowOff>
    </xdr:to>
    <xdr:pic>
      <xdr:nvPicPr>
        <xdr:cNvPr id="2" name="Picture 1" descr="CONSTRlJCTlON cosT PER SQUARE FOOT (PSF) &#10;AVERAGE cosT PER SQUARE FOOT ΙΝ ΤΗΕ Ι-ΙΝΙΤΕΟ STATES &#10;341&quot; &#10;2 &#10;π ">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4" y="1904999"/>
          <a:ext cx="8048625" cy="4848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xdr:row>
          <xdr:rowOff>152400</xdr:rowOff>
        </xdr:from>
        <xdr:to>
          <xdr:col>13</xdr:col>
          <xdr:colOff>104775</xdr:colOff>
          <xdr:row>19</xdr:row>
          <xdr:rowOff>85725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19050</xdr:colOff>
      <xdr:row>12</xdr:row>
      <xdr:rowOff>38100</xdr:rowOff>
    </xdr:from>
    <xdr:to>
      <xdr:col>9</xdr:col>
      <xdr:colOff>276225</xdr:colOff>
      <xdr:row>17</xdr:row>
      <xdr:rowOff>171450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28650" y="2409825"/>
          <a:ext cx="5133975"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 this study the cost of a library without and with bird-safe glass was compared</a:t>
          </a:r>
          <a:r>
            <a:rPr lang="en-US"/>
            <a:t> to t</a:t>
          </a:r>
          <a:r>
            <a:rPr lang="en-US" sz="1100" b="0" i="0" u="none" strike="noStrike">
              <a:solidFill>
                <a:schemeClr val="dk1"/>
              </a:solidFill>
              <a:effectLst/>
              <a:latin typeface="+mn-lt"/>
              <a:ea typeface="+mn-ea"/>
              <a:cs typeface="+mn-cs"/>
            </a:rPr>
            <a:t>he added cost of bird safe glass. (It assumed UV glass costing 50% more than</a:t>
          </a:r>
          <a:r>
            <a:rPr lang="en-US" sz="1100" b="0" i="0" u="none" strike="noStrike" baseline="0">
              <a:solidFill>
                <a:schemeClr val="dk1"/>
              </a:solidFill>
              <a:effectLst/>
              <a:latin typeface="+mn-lt"/>
              <a:ea typeface="+mn-ea"/>
              <a:cs typeface="+mn-cs"/>
            </a:rPr>
            <a:t> normal glass.) </a:t>
          </a:r>
          <a:r>
            <a:rPr lang="en-US" sz="1100" b="0" i="0" u="none" strike="noStrike">
              <a:solidFill>
                <a:schemeClr val="dk1"/>
              </a:solidFill>
              <a:effectLst/>
              <a:latin typeface="+mn-lt"/>
              <a:ea typeface="+mn-ea"/>
              <a:cs typeface="+mn-cs"/>
            </a:rPr>
            <a:t>The result is shown in K2 --$19,260</a:t>
          </a:r>
          <a:r>
            <a:rPr lang="en-US"/>
            <a:t> </a:t>
          </a:r>
          <a:r>
            <a:rPr lang="en-US" sz="1100" b="0" i="0" u="none" strike="noStrike">
              <a:solidFill>
                <a:schemeClr val="dk1"/>
              </a:solidFill>
              <a:effectLst/>
              <a:latin typeface="+mn-lt"/>
              <a:ea typeface="+mn-ea"/>
              <a:cs typeface="+mn-cs"/>
            </a:rPr>
            <a:t>That cost as a percentage is compared  to the cost of the building as a whole.</a:t>
          </a:r>
          <a:r>
            <a:rPr lang="en-US"/>
            <a:t> </a:t>
          </a:r>
          <a:r>
            <a:rPr lang="en-US" sz="1100" b="0" i="0" u="none" strike="noStrike">
              <a:solidFill>
                <a:schemeClr val="dk1"/>
              </a:solidFill>
              <a:effectLst/>
              <a:latin typeface="+mn-lt"/>
              <a:ea typeface="+mn-ea"/>
              <a:cs typeface="+mn-cs"/>
            </a:rPr>
            <a:t>The result is 0.17%. The scenario approach estimates  0.15% </a:t>
          </a:r>
          <a:r>
            <a:rPr lang="en-US"/>
            <a:t> </a:t>
          </a:r>
          <a:r>
            <a:rPr lang="en-US" sz="1100" b="0" i="0" u="none" strike="noStrike">
              <a:solidFill>
                <a:schemeClr val="dk1"/>
              </a:solidFill>
              <a:effectLst/>
              <a:latin typeface="+mn-lt"/>
              <a:ea typeface="+mn-ea"/>
              <a:cs typeface="+mn-cs"/>
            </a:rPr>
            <a:t> See    "Base Worksheet at D58</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indowinstallercosts.com/how-much-do-commercial-windows-cost/" TargetMode="External"/><Relationship Id="rId3" Type="http://schemas.openxmlformats.org/officeDocument/2006/relationships/hyperlink" Target="https://theskydeck.com/how-tall-is-a-storey-in-feet/" TargetMode="External"/><Relationship Id="rId7" Type="http://schemas.openxmlformats.org/officeDocument/2006/relationships/hyperlink" Target="https://glassstorefrontdoors.com/pricing/" TargetMode="External"/><Relationship Id="rId12" Type="http://schemas.openxmlformats.org/officeDocument/2006/relationships/comments" Target="../comments1.xml"/><Relationship Id="rId2" Type="http://schemas.openxmlformats.org/officeDocument/2006/relationships/hyperlink" Target="https://home.akitabox.com/blog/how-to-calculate-square-footage/" TargetMode="External"/><Relationship Id="rId1" Type="http://schemas.openxmlformats.org/officeDocument/2006/relationships/hyperlink" Target="https://www.energy.gov/eere/buildings/windows" TargetMode="External"/><Relationship Id="rId6" Type="http://schemas.openxmlformats.org/officeDocument/2006/relationships/hyperlink" Target="https://bobcutmag.com/2022/03/23/how-much-does-it-cost-to-install-storefront-glass/" TargetMode="External"/><Relationship Id="rId11" Type="http://schemas.openxmlformats.org/officeDocument/2006/relationships/vmlDrawing" Target="../drawings/vmlDrawing1.vml"/><Relationship Id="rId5" Type="http://schemas.openxmlformats.org/officeDocument/2006/relationships/hyperlink" Target="https://www.eia.gov/todayinenergy/detail.php?id=21152" TargetMode="External"/><Relationship Id="rId10" Type="http://schemas.openxmlformats.org/officeDocument/2006/relationships/drawing" Target="../drawings/drawing2.xml"/><Relationship Id="rId4" Type="http://schemas.openxmlformats.org/officeDocument/2006/relationships/hyperlink" Target="https://www.eia.gov/todayinenergy/detail.php?id=21152"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image" Target="../media/image10.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B18A-C0D7-4691-9A66-09EC147C592D}">
  <dimension ref="A2:I71"/>
  <sheetViews>
    <sheetView topLeftCell="A58" workbookViewId="0">
      <selection activeCell="J12" sqref="J12"/>
    </sheetView>
  </sheetViews>
  <sheetFormatPr defaultRowHeight="15"/>
  <cols>
    <col min="2" max="2" width="75.42578125" customWidth="1"/>
  </cols>
  <sheetData>
    <row r="2" spans="2:7" ht="21">
      <c r="B2" s="105" t="s">
        <v>131</v>
      </c>
    </row>
    <row r="3" spans="2:7" ht="31.5">
      <c r="B3" s="108" t="s">
        <v>138</v>
      </c>
    </row>
    <row r="4" spans="2:7">
      <c r="B4" s="106"/>
    </row>
    <row r="5" spans="2:7">
      <c r="B5" s="106"/>
    </row>
    <row r="6" spans="2:7">
      <c r="B6" s="106"/>
      <c r="F6" t="s">
        <v>132</v>
      </c>
    </row>
    <row r="7" spans="2:7">
      <c r="B7" s="106"/>
      <c r="F7" s="45"/>
      <c r="G7" s="21" t="s">
        <v>72</v>
      </c>
    </row>
    <row r="8" spans="2:7" ht="17.25">
      <c r="B8" s="107"/>
      <c r="F8" s="45">
        <v>60</v>
      </c>
      <c r="G8" t="s">
        <v>77</v>
      </c>
    </row>
    <row r="9" spans="2:7">
      <c r="B9" s="106"/>
      <c r="F9" s="45">
        <v>60</v>
      </c>
      <c r="G9" t="s">
        <v>78</v>
      </c>
    </row>
    <row r="10" spans="2:7">
      <c r="B10" s="106"/>
      <c r="F10" s="45">
        <v>125</v>
      </c>
      <c r="G10" t="s">
        <v>79</v>
      </c>
    </row>
    <row r="11" spans="2:7">
      <c r="B11" s="106"/>
      <c r="F11" s="46">
        <v>100</v>
      </c>
      <c r="G11" t="s">
        <v>134</v>
      </c>
    </row>
    <row r="12" spans="2:7">
      <c r="B12" s="4"/>
      <c r="F12" s="47">
        <v>562</v>
      </c>
      <c r="G12" t="s">
        <v>76</v>
      </c>
    </row>
    <row r="13" spans="2:7">
      <c r="B13" s="106"/>
      <c r="F13" s="45">
        <v>13</v>
      </c>
      <c r="G13" t="s">
        <v>26</v>
      </c>
    </row>
    <row r="14" spans="2:7" ht="17.25">
      <c r="B14" s="107"/>
      <c r="F14" s="45">
        <v>12</v>
      </c>
      <c r="G14" t="s">
        <v>25</v>
      </c>
    </row>
    <row r="15" spans="2:7">
      <c r="B15" s="106"/>
      <c r="F15" s="45">
        <v>16</v>
      </c>
      <c r="G15" t="s">
        <v>73</v>
      </c>
    </row>
    <row r="16" spans="2:7" ht="17.25">
      <c r="B16" s="107"/>
      <c r="F16" s="47">
        <v>25</v>
      </c>
      <c r="G16" t="s">
        <v>75</v>
      </c>
    </row>
    <row r="17" spans="2:9">
      <c r="B17" s="106"/>
      <c r="F17" s="62">
        <v>14</v>
      </c>
      <c r="G17" t="s">
        <v>110</v>
      </c>
    </row>
    <row r="18" spans="2:9">
      <c r="B18" s="106"/>
      <c r="F18" s="8">
        <f>med4bldgheight/med4flrheight</f>
        <v>8.9285714285714288</v>
      </c>
      <c r="G18" t="s">
        <v>111</v>
      </c>
      <c r="I18" t="s">
        <v>135</v>
      </c>
    </row>
    <row r="19" spans="2:9">
      <c r="B19" s="106"/>
      <c r="F19" s="8">
        <f>med4safeheight/med4flrheight</f>
        <v>2.8571428571428572</v>
      </c>
      <c r="G19" t="s">
        <v>112</v>
      </c>
      <c r="I19" t="s">
        <v>135</v>
      </c>
    </row>
    <row r="20" spans="2:9" ht="17.25">
      <c r="B20" s="107"/>
    </row>
    <row r="21" spans="2:9">
      <c r="B21" s="106"/>
    </row>
    <row r="22" spans="2:9" ht="17.25">
      <c r="B22" s="107"/>
    </row>
    <row r="36" spans="6:7">
      <c r="F36" t="s">
        <v>132</v>
      </c>
    </row>
    <row r="37" spans="6:7">
      <c r="F37" s="45"/>
      <c r="G37" s="21" t="s">
        <v>72</v>
      </c>
    </row>
    <row r="38" spans="6:7">
      <c r="F38" s="45">
        <v>60</v>
      </c>
      <c r="G38" t="s">
        <v>77</v>
      </c>
    </row>
    <row r="39" spans="6:7">
      <c r="F39" s="45">
        <v>60</v>
      </c>
      <c r="G39" t="s">
        <v>78</v>
      </c>
    </row>
    <row r="40" spans="6:7">
      <c r="F40" s="45">
        <v>125</v>
      </c>
      <c r="G40" t="s">
        <v>79</v>
      </c>
    </row>
    <row r="41" spans="6:7">
      <c r="F41" s="46">
        <v>100</v>
      </c>
      <c r="G41" t="s">
        <v>134</v>
      </c>
    </row>
    <row r="42" spans="6:7">
      <c r="F42" s="47">
        <v>562</v>
      </c>
      <c r="G42" t="s">
        <v>76</v>
      </c>
    </row>
    <row r="43" spans="6:7">
      <c r="F43" s="45">
        <v>13</v>
      </c>
      <c r="G43" t="s">
        <v>26</v>
      </c>
    </row>
    <row r="44" spans="6:7">
      <c r="F44" s="45">
        <v>12</v>
      </c>
      <c r="G44" t="s">
        <v>25</v>
      </c>
    </row>
    <row r="45" spans="6:7">
      <c r="F45" s="45">
        <v>16</v>
      </c>
      <c r="G45" t="s">
        <v>73</v>
      </c>
    </row>
    <row r="46" spans="6:7">
      <c r="F46" s="47">
        <v>25</v>
      </c>
      <c r="G46" t="s">
        <v>75</v>
      </c>
    </row>
    <row r="47" spans="6:7">
      <c r="F47" s="62">
        <v>14</v>
      </c>
      <c r="G47" t="s">
        <v>110</v>
      </c>
    </row>
    <row r="48" spans="6:7">
      <c r="F48" s="8">
        <f>med4bldgheight/med4flrheight</f>
        <v>8.9285714285714288</v>
      </c>
      <c r="G48" t="s">
        <v>111</v>
      </c>
    </row>
    <row r="49" spans="6:7">
      <c r="F49" s="8">
        <f>med4safeheight/med4flrheight</f>
        <v>2.8571428571428572</v>
      </c>
      <c r="G49" t="s">
        <v>112</v>
      </c>
    </row>
    <row r="71" spans="1:1">
      <c r="A71" s="2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7B25-9818-4F0A-9225-D78BB46833FD}">
  <dimension ref="A1:AQ134"/>
  <sheetViews>
    <sheetView tabSelected="1" topLeftCell="A62" workbookViewId="0">
      <selection activeCell="C73" sqref="C73"/>
    </sheetView>
  </sheetViews>
  <sheetFormatPr defaultRowHeight="15"/>
  <cols>
    <col min="1" max="1" width="25.7109375" customWidth="1"/>
    <col min="2" max="2" width="8.85546875" customWidth="1"/>
    <col min="3" max="3" width="23.7109375" customWidth="1"/>
    <col min="4" max="4" width="17.42578125" customWidth="1"/>
    <col min="5" max="5" width="11.140625" customWidth="1"/>
    <col min="6" max="6" width="17.42578125" customWidth="1"/>
    <col min="7" max="7" width="15.28515625" customWidth="1"/>
    <col min="8" max="12" width="15.28515625" hidden="1" customWidth="1"/>
    <col min="13" max="13" width="21.28515625" customWidth="1"/>
    <col min="14" max="14" width="16.42578125" customWidth="1"/>
    <col min="15" max="15" width="15.28515625" customWidth="1"/>
    <col min="16" max="16" width="10.5703125" customWidth="1"/>
    <col min="17" max="17" width="1.5703125" style="77" customWidth="1"/>
    <col min="18" max="18" width="25" customWidth="1"/>
    <col min="19" max="19" width="18.5703125" customWidth="1"/>
    <col min="20" max="20" width="16.28515625" customWidth="1"/>
    <col min="21" max="21" width="9.140625" customWidth="1"/>
    <col min="22" max="22" width="2.42578125" style="92" customWidth="1"/>
    <col min="23" max="23" width="19.85546875" customWidth="1"/>
    <col min="24" max="24" width="15.5703125" customWidth="1"/>
    <col min="25" max="25" width="13.140625" customWidth="1"/>
    <col min="26" max="26" width="13.42578125" hidden="1" customWidth="1"/>
    <col min="27" max="31" width="9.140625" hidden="1" customWidth="1"/>
    <col min="32" max="32" width="18" customWidth="1"/>
    <col min="33" max="37" width="9.140625" customWidth="1"/>
    <col min="38" max="38" width="11.140625" customWidth="1"/>
  </cols>
  <sheetData>
    <row r="1" spans="1:42" ht="18.75">
      <c r="A1" s="18" t="s">
        <v>123</v>
      </c>
      <c r="B1" s="18"/>
      <c r="C1" s="18"/>
      <c r="D1" s="18"/>
      <c r="H1" s="18"/>
      <c r="I1" s="18"/>
      <c r="J1" s="18"/>
      <c r="M1" s="21" t="s">
        <v>162</v>
      </c>
      <c r="N1" s="21"/>
      <c r="O1">
        <f>92*0.7</f>
        <v>64.399999999999991</v>
      </c>
      <c r="S1" s="21" t="s">
        <v>124</v>
      </c>
      <c r="T1" s="21"/>
      <c r="U1" s="21"/>
      <c r="X1" s="21" t="s">
        <v>122</v>
      </c>
    </row>
    <row r="2" spans="1:42" ht="21">
      <c r="A2" s="18"/>
      <c r="B2" s="18"/>
      <c r="C2" s="18"/>
      <c r="D2" s="18"/>
      <c r="F2" s="21" t="s">
        <v>91</v>
      </c>
      <c r="G2" s="21"/>
      <c r="H2" s="18"/>
      <c r="I2" s="18"/>
      <c r="J2" s="18"/>
      <c r="M2" s="43"/>
      <c r="O2" s="9"/>
      <c r="P2" s="9"/>
      <c r="Q2" s="78"/>
      <c r="R2" s="9"/>
      <c r="S2" s="9"/>
      <c r="Y2" s="21"/>
      <c r="Z2" s="21"/>
    </row>
    <row r="3" spans="1:42" ht="48" customHeight="1">
      <c r="A3" s="18" t="s">
        <v>63</v>
      </c>
      <c r="B3" s="18"/>
      <c r="C3" s="18"/>
      <c r="D3" s="18"/>
      <c r="F3" s="45"/>
      <c r="G3" s="21" t="s">
        <v>72</v>
      </c>
      <c r="H3" s="18"/>
      <c r="I3" s="18"/>
      <c r="J3" s="18"/>
      <c r="N3" s="45"/>
      <c r="O3" s="21" t="s">
        <v>72</v>
      </c>
      <c r="P3" s="31"/>
      <c r="Q3" s="79"/>
      <c r="R3" s="31"/>
      <c r="S3" s="45"/>
      <c r="T3" s="21" t="s">
        <v>72</v>
      </c>
      <c r="W3" s="31"/>
      <c r="X3" s="45"/>
      <c r="Y3" s="21" t="s">
        <v>72</v>
      </c>
      <c r="AN3" t="s">
        <v>90</v>
      </c>
    </row>
    <row r="4" spans="1:42" ht="18.75">
      <c r="A4" s="18"/>
      <c r="B4" s="18"/>
      <c r="C4" t="s">
        <v>59</v>
      </c>
      <c r="D4" s="49">
        <v>60</v>
      </c>
      <c r="F4" s="45">
        <v>60</v>
      </c>
      <c r="G4" t="s">
        <v>77</v>
      </c>
      <c r="H4" s="18"/>
      <c r="I4" s="18"/>
      <c r="J4" s="18"/>
      <c r="M4" s="12"/>
      <c r="N4" s="45">
        <v>60</v>
      </c>
      <c r="O4" t="s">
        <v>77</v>
      </c>
      <c r="P4" s="71"/>
      <c r="Q4" s="80"/>
      <c r="R4" s="72"/>
      <c r="S4" s="45">
        <v>120</v>
      </c>
      <c r="T4" t="s">
        <v>77</v>
      </c>
      <c r="W4" s="72"/>
      <c r="X4" s="45">
        <v>120</v>
      </c>
      <c r="Y4" t="s">
        <v>77</v>
      </c>
      <c r="AN4" t="s">
        <v>89</v>
      </c>
      <c r="AO4" s="9" t="e">
        <f>bldgcostsqfeet!#REF!</f>
        <v>#REF!</v>
      </c>
      <c r="AP4" s="9">
        <v>313</v>
      </c>
    </row>
    <row r="5" spans="1:42" ht="18.75">
      <c r="A5" s="18"/>
      <c r="B5" s="18"/>
      <c r="C5" t="s">
        <v>9</v>
      </c>
      <c r="D5" s="49">
        <f>bldgheight</f>
        <v>125</v>
      </c>
      <c r="F5" s="45">
        <v>60</v>
      </c>
      <c r="G5" t="s">
        <v>78</v>
      </c>
      <c r="H5" s="18"/>
      <c r="I5" s="18"/>
      <c r="J5" s="18"/>
      <c r="M5" s="12"/>
      <c r="N5" s="45">
        <v>60</v>
      </c>
      <c r="O5" t="s">
        <v>78</v>
      </c>
      <c r="P5" s="71"/>
      <c r="Q5" s="80"/>
      <c r="R5" s="72"/>
      <c r="S5" s="45">
        <v>120</v>
      </c>
      <c r="T5" t="s">
        <v>78</v>
      </c>
      <c r="W5" s="72"/>
      <c r="X5" s="45">
        <v>120</v>
      </c>
      <c r="Y5" t="s">
        <v>78</v>
      </c>
      <c r="AN5" t="s">
        <v>87</v>
      </c>
      <c r="AO5" s="9" t="e">
        <f>bldgcostsqfeet!#REF!</f>
        <v>#REF!</v>
      </c>
      <c r="AP5" s="9">
        <v>562</v>
      </c>
    </row>
    <row r="6" spans="1:42" ht="18.75">
      <c r="A6" s="18"/>
      <c r="B6" s="18"/>
      <c r="C6" t="s">
        <v>27</v>
      </c>
      <c r="D6" s="49">
        <v>60</v>
      </c>
      <c r="F6" s="45">
        <v>125</v>
      </c>
      <c r="G6" t="s">
        <v>79</v>
      </c>
      <c r="H6" s="18"/>
      <c r="I6" s="18"/>
      <c r="J6" s="18"/>
      <c r="M6" s="12"/>
      <c r="N6" s="45">
        <v>125</v>
      </c>
      <c r="O6" t="s">
        <v>79</v>
      </c>
      <c r="P6" s="71"/>
      <c r="Q6" s="80"/>
      <c r="R6" s="72"/>
      <c r="S6" s="45">
        <v>250</v>
      </c>
      <c r="T6" t="s">
        <v>79</v>
      </c>
      <c r="W6" s="72"/>
      <c r="X6" s="45">
        <v>250</v>
      </c>
      <c r="Y6" t="s">
        <v>79</v>
      </c>
      <c r="AN6" t="s">
        <v>88</v>
      </c>
      <c r="AO6" s="9" t="e">
        <f>bldgcostsqfeet!#REF!</f>
        <v>#REF!</v>
      </c>
      <c r="AP6" s="9">
        <v>660</v>
      </c>
    </row>
    <row r="7" spans="1:42" ht="18.75">
      <c r="A7" s="18"/>
      <c r="B7" s="18"/>
      <c r="C7" s="25" t="s">
        <v>108</v>
      </c>
      <c r="D7" s="26">
        <f>bldgwidth*bldgdepth</f>
        <v>3600</v>
      </c>
      <c r="F7" s="46">
        <v>100</v>
      </c>
      <c r="G7" t="s">
        <v>80</v>
      </c>
      <c r="H7" s="18"/>
      <c r="I7" s="18"/>
      <c r="J7" s="18"/>
      <c r="N7" s="46">
        <v>40</v>
      </c>
      <c r="O7" t="s">
        <v>80</v>
      </c>
      <c r="P7" s="9"/>
      <c r="S7" s="46">
        <v>100</v>
      </c>
      <c r="T7" t="s">
        <v>80</v>
      </c>
      <c r="X7" s="46">
        <v>100</v>
      </c>
      <c r="Y7" t="s">
        <v>80</v>
      </c>
    </row>
    <row r="8" spans="1:42" ht="18.75">
      <c r="A8" s="18"/>
      <c r="B8" s="18"/>
      <c r="C8" t="s">
        <v>64</v>
      </c>
      <c r="D8" s="46">
        <f>F7</f>
        <v>100</v>
      </c>
      <c r="F8" s="47">
        <v>562</v>
      </c>
      <c r="G8" t="s">
        <v>76</v>
      </c>
      <c r="H8" s="18"/>
      <c r="I8" s="18"/>
      <c r="J8" s="18"/>
      <c r="M8" s="31"/>
      <c r="N8" s="47">
        <v>562</v>
      </c>
      <c r="O8" t="s">
        <v>76</v>
      </c>
      <c r="S8" s="47">
        <v>660</v>
      </c>
      <c r="T8" t="s">
        <v>76</v>
      </c>
      <c r="X8" s="47" t="e">
        <f>AO6</f>
        <v>#REF!</v>
      </c>
      <c r="Y8" t="s">
        <v>76</v>
      </c>
    </row>
    <row r="9" spans="1:42" ht="18.75">
      <c r="A9" s="44" t="s">
        <v>86</v>
      </c>
      <c r="B9" s="44"/>
      <c r="C9" t="s">
        <v>22</v>
      </c>
      <c r="D9" s="48">
        <v>14</v>
      </c>
      <c r="F9" s="45">
        <v>13</v>
      </c>
      <c r="G9" t="s">
        <v>26</v>
      </c>
      <c r="H9" s="18"/>
      <c r="I9" s="18"/>
      <c r="J9" s="18"/>
      <c r="M9" s="42"/>
      <c r="N9" s="45">
        <v>13</v>
      </c>
      <c r="O9" t="s">
        <v>26</v>
      </c>
      <c r="P9" s="73"/>
      <c r="Q9" s="81"/>
      <c r="R9" s="73"/>
      <c r="S9" s="45">
        <v>13</v>
      </c>
      <c r="T9" t="s">
        <v>26</v>
      </c>
      <c r="W9" s="73"/>
      <c r="X9" s="45">
        <v>13</v>
      </c>
      <c r="Y9" t="s">
        <v>26</v>
      </c>
    </row>
    <row r="10" spans="1:42" ht="18.75">
      <c r="A10">
        <f>bldgheight/height_of_floor</f>
        <v>8.9285714285714288</v>
      </c>
      <c r="B10" s="34">
        <f>ROUND(A10,0)</f>
        <v>9</v>
      </c>
      <c r="C10" t="s">
        <v>84</v>
      </c>
      <c r="D10" s="34">
        <f>B10</f>
        <v>9</v>
      </c>
      <c r="F10" s="45">
        <v>12</v>
      </c>
      <c r="G10" t="s">
        <v>25</v>
      </c>
      <c r="H10" s="35"/>
      <c r="I10" s="18"/>
      <c r="J10" s="18"/>
      <c r="M10" s="42"/>
      <c r="N10" s="45">
        <v>12</v>
      </c>
      <c r="O10" t="s">
        <v>25</v>
      </c>
      <c r="P10" s="73"/>
      <c r="Q10" s="81"/>
      <c r="R10" s="73"/>
      <c r="S10" s="45">
        <v>12</v>
      </c>
      <c r="T10" t="s">
        <v>25</v>
      </c>
      <c r="W10" s="73"/>
      <c r="X10" s="45">
        <v>12</v>
      </c>
      <c r="Y10" t="s">
        <v>25</v>
      </c>
    </row>
    <row r="11" spans="1:42" ht="18.75">
      <c r="A11">
        <f>D8/height_of_floor</f>
        <v>7.1428571428571432</v>
      </c>
      <c r="B11">
        <f>ROUND(A11,0)</f>
        <v>7</v>
      </c>
      <c r="C11" t="s">
        <v>92</v>
      </c>
      <c r="D11" s="34">
        <f>B11</f>
        <v>7</v>
      </c>
      <c r="E11" s="33"/>
      <c r="F11" s="45">
        <v>4</v>
      </c>
      <c r="G11" t="s">
        <v>73</v>
      </c>
      <c r="H11" s="36"/>
      <c r="I11" s="18"/>
      <c r="J11" s="18"/>
      <c r="M11" s="42"/>
      <c r="N11" s="45">
        <v>16</v>
      </c>
      <c r="O11" t="s">
        <v>73</v>
      </c>
      <c r="P11" s="73"/>
      <c r="Q11" s="81"/>
      <c r="R11" s="73"/>
      <c r="S11" s="45">
        <v>4</v>
      </c>
      <c r="T11" t="s">
        <v>73</v>
      </c>
      <c r="W11" s="73"/>
      <c r="X11" s="45">
        <v>16</v>
      </c>
      <c r="Y11" t="s">
        <v>73</v>
      </c>
    </row>
    <row r="12" spans="1:42" ht="18.75">
      <c r="A12" t="s">
        <v>153</v>
      </c>
      <c r="D12" s="34"/>
      <c r="E12" s="33"/>
      <c r="F12" s="45"/>
      <c r="H12" s="36"/>
      <c r="I12" s="18"/>
      <c r="J12" s="18"/>
      <c r="M12" s="42"/>
      <c r="N12" s="45">
        <f>numfloors</f>
        <v>9</v>
      </c>
      <c r="O12" t="s">
        <v>111</v>
      </c>
      <c r="P12" s="73"/>
      <c r="Q12" s="81"/>
      <c r="R12" s="73"/>
      <c r="S12" s="45"/>
      <c r="W12" s="73"/>
      <c r="X12" s="45"/>
    </row>
    <row r="13" spans="1:42" ht="18.75">
      <c r="A13" s="17"/>
      <c r="B13" s="17"/>
      <c r="C13" s="17" t="s">
        <v>10</v>
      </c>
      <c r="D13" s="14">
        <f>bldgwidth*bldgdepth</f>
        <v>3600</v>
      </c>
      <c r="E13" s="8"/>
      <c r="F13" s="47">
        <v>25</v>
      </c>
      <c r="G13" t="s">
        <v>75</v>
      </c>
      <c r="H13" s="18"/>
      <c r="I13" s="35"/>
      <c r="J13" s="18"/>
      <c r="K13" s="37"/>
      <c r="L13" s="37"/>
      <c r="N13" s="47">
        <v>25</v>
      </c>
      <c r="O13" t="s">
        <v>75</v>
      </c>
      <c r="S13" s="47">
        <v>50</v>
      </c>
      <c r="T13" t="s">
        <v>75</v>
      </c>
      <c r="X13" s="47">
        <v>50</v>
      </c>
      <c r="Y13" t="s">
        <v>75</v>
      </c>
    </row>
    <row r="14" spans="1:42" ht="18.75">
      <c r="A14" s="17"/>
      <c r="B14" s="17"/>
      <c r="C14" s="17" t="s">
        <v>106</v>
      </c>
      <c r="D14" s="14">
        <f>D13*numfloors</f>
        <v>32400</v>
      </c>
      <c r="F14" s="62">
        <v>14</v>
      </c>
      <c r="G14" t="s">
        <v>110</v>
      </c>
      <c r="H14" s="18"/>
      <c r="I14" s="18"/>
      <c r="J14" s="35"/>
      <c r="M14" s="39"/>
      <c r="N14" s="62">
        <v>14</v>
      </c>
      <c r="O14" t="s">
        <v>110</v>
      </c>
      <c r="P14" s="74"/>
      <c r="Q14" s="82"/>
      <c r="R14" s="74"/>
      <c r="S14" s="62">
        <v>14</v>
      </c>
      <c r="T14" t="s">
        <v>110</v>
      </c>
      <c r="W14" s="74"/>
      <c r="X14" s="62">
        <v>14</v>
      </c>
      <c r="Y14" t="s">
        <v>110</v>
      </c>
    </row>
    <row r="15" spans="1:42" ht="18.75">
      <c r="A15" s="17"/>
      <c r="B15" s="17"/>
      <c r="C15" s="17"/>
      <c r="D15" s="14"/>
      <c r="F15" s="104"/>
      <c r="H15" s="18"/>
      <c r="I15" s="18"/>
      <c r="J15" s="35"/>
      <c r="N15" s="8">
        <f>med4bldgheight/med4flrheight</f>
        <v>8.9285714285714288</v>
      </c>
      <c r="O15" t="s">
        <v>111</v>
      </c>
      <c r="P15" s="74"/>
      <c r="Q15" s="82"/>
      <c r="R15" s="74"/>
      <c r="S15" s="8">
        <f>S6/S14</f>
        <v>17.857142857142858</v>
      </c>
      <c r="T15" t="s">
        <v>111</v>
      </c>
      <c r="W15" s="74"/>
      <c r="X15" s="8">
        <f>X6/X14</f>
        <v>17.857142857142858</v>
      </c>
      <c r="Y15" t="s">
        <v>111</v>
      </c>
    </row>
    <row r="16" spans="1:42" ht="18.75">
      <c r="A16" s="17"/>
      <c r="B16" s="17"/>
      <c r="C16" s="17"/>
      <c r="D16" s="14">
        <f>numfloors*D13</f>
        <v>32400</v>
      </c>
      <c r="F16" s="104" t="s">
        <v>152</v>
      </c>
      <c r="H16" s="18"/>
      <c r="I16" s="18"/>
      <c r="J16" s="35"/>
      <c r="N16" s="8">
        <f>med4safeheight/med4flrheight</f>
        <v>2.8571428571428572</v>
      </c>
      <c r="O16" t="s">
        <v>112</v>
      </c>
      <c r="P16" s="74"/>
      <c r="Q16" s="82"/>
      <c r="R16" s="74"/>
      <c r="S16" s="8">
        <f>med4safeheight/med4flrheight</f>
        <v>2.8571428571428572</v>
      </c>
      <c r="T16" t="s">
        <v>112</v>
      </c>
      <c r="W16" s="74"/>
      <c r="X16" s="8">
        <f>med4safeheight/med4flrheight</f>
        <v>2.8571428571428572</v>
      </c>
      <c r="Y16" t="s">
        <v>112</v>
      </c>
    </row>
    <row r="17" spans="1:34" ht="18.75">
      <c r="A17" s="17"/>
      <c r="B17" s="17"/>
      <c r="C17" s="17"/>
      <c r="D17" s="14"/>
      <c r="F17" s="104">
        <f>F6/F14</f>
        <v>8.9285714285714288</v>
      </c>
      <c r="H17" s="18"/>
      <c r="I17" s="18"/>
      <c r="J17" s="35"/>
      <c r="M17" s="39" t="s">
        <v>10</v>
      </c>
      <c r="N17" s="69">
        <f>Med4bldgwidth*medium4bldgdepth</f>
        <v>3600</v>
      </c>
      <c r="P17" s="74"/>
      <c r="Q17" s="82"/>
      <c r="R17" s="39" t="s">
        <v>10</v>
      </c>
      <c r="S17" s="88">
        <f>S4*S5</f>
        <v>14400</v>
      </c>
      <c r="U17" s="74"/>
      <c r="W17" s="39" t="s">
        <v>10</v>
      </c>
      <c r="X17" s="88">
        <f>X4*X5</f>
        <v>14400</v>
      </c>
    </row>
    <row r="18" spans="1:34" ht="18.75">
      <c r="A18" s="17"/>
      <c r="B18" s="17"/>
      <c r="C18" s="17"/>
      <c r="D18" s="14"/>
      <c r="F18" s="104">
        <f>bldgheight/F14</f>
        <v>8.9285714285714288</v>
      </c>
      <c r="H18" s="18"/>
      <c r="I18" s="18"/>
      <c r="J18" s="35"/>
      <c r="M18" s="39" t="s">
        <v>118</v>
      </c>
      <c r="N18" s="69">
        <f>N17*med4totalfloors</f>
        <v>32142.857142857145</v>
      </c>
      <c r="P18" s="74"/>
      <c r="Q18" s="82"/>
      <c r="R18" s="39" t="s">
        <v>118</v>
      </c>
      <c r="S18" s="88">
        <f>tallfloorsqfeet*tallnumfloors</f>
        <v>257142.85714285716</v>
      </c>
      <c r="U18" s="74"/>
      <c r="W18" s="39" t="s">
        <v>118</v>
      </c>
      <c r="X18" s="88">
        <f>tallfloorsqfeet*tallnumfloors</f>
        <v>257142.85714285716</v>
      </c>
      <c r="Z18" s="74"/>
    </row>
    <row r="19" spans="1:34" ht="18.75">
      <c r="A19" s="18"/>
      <c r="B19" s="18"/>
      <c r="C19" s="18"/>
      <c r="D19" s="18"/>
      <c r="F19" s="34"/>
      <c r="H19" s="35"/>
      <c r="I19" s="35"/>
      <c r="J19" s="18"/>
      <c r="M19" s="9"/>
      <c r="P19" s="8"/>
      <c r="Q19" s="83"/>
      <c r="R19" s="9"/>
      <c r="U19" s="8"/>
      <c r="W19" s="9"/>
      <c r="Z19" s="74"/>
    </row>
    <row r="20" spans="1:34" ht="18.75">
      <c r="A20" s="18" t="s">
        <v>65</v>
      </c>
      <c r="B20" s="18"/>
      <c r="C20" s="18"/>
      <c r="D20" s="18"/>
      <c r="H20" s="18"/>
      <c r="I20" s="18"/>
      <c r="J20" s="18"/>
      <c r="P20" s="8"/>
      <c r="Q20" s="83"/>
      <c r="U20" s="8"/>
      <c r="Z20" s="8"/>
    </row>
    <row r="21" spans="1:34">
      <c r="A21" t="s">
        <v>21</v>
      </c>
      <c r="C21" s="45">
        <f>F11</f>
        <v>4</v>
      </c>
      <c r="D21" s="14" t="s">
        <v>74</v>
      </c>
      <c r="M21" t="s">
        <v>120</v>
      </c>
      <c r="N21">
        <v>4</v>
      </c>
      <c r="P21" s="8"/>
      <c r="Q21" s="83"/>
      <c r="R21" t="s">
        <v>73</v>
      </c>
      <c r="S21">
        <v>4</v>
      </c>
      <c r="U21" s="8"/>
      <c r="W21" t="s">
        <v>73</v>
      </c>
      <c r="X21">
        <f>tall4windowsperfloor</f>
        <v>16</v>
      </c>
      <c r="Z21" s="8"/>
      <c r="AF21" s="1"/>
    </row>
    <row r="22" spans="1:34">
      <c r="A22" t="s">
        <v>24</v>
      </c>
      <c r="D22" s="14">
        <f>w_per_floor*numfloors</f>
        <v>36</v>
      </c>
      <c r="F22" s="28">
        <v>20</v>
      </c>
      <c r="G22" s="8"/>
      <c r="K22" s="8"/>
      <c r="L22" s="8"/>
      <c r="M22" t="s">
        <v>24</v>
      </c>
      <c r="N22" s="14">
        <f>med4totalfloors*N21</f>
        <v>35.714285714285715</v>
      </c>
      <c r="R22" t="s">
        <v>24</v>
      </c>
      <c r="S22" s="14">
        <f>tallnumfloors*tallwindowsperfloor</f>
        <v>71.428571428571431</v>
      </c>
      <c r="W22" t="s">
        <v>24</v>
      </c>
      <c r="X22" s="14">
        <f>tallnumfloors*tall4windowsperfloor</f>
        <v>285.71428571428572</v>
      </c>
      <c r="Z22" s="8"/>
      <c r="AF22" s="1"/>
      <c r="AH22" s="1"/>
    </row>
    <row r="23" spans="1:34">
      <c r="C23" t="s">
        <v>66</v>
      </c>
      <c r="D23" s="14">
        <f>w_per_floor*Bird_Safe_Floors</f>
        <v>28</v>
      </c>
      <c r="K23" s="8"/>
      <c r="L23" s="8"/>
      <c r="M23" s="8" t="s">
        <v>113</v>
      </c>
      <c r="N23" s="8">
        <v>12</v>
      </c>
      <c r="O23" t="s">
        <v>154</v>
      </c>
      <c r="R23" s="8" t="s">
        <v>113</v>
      </c>
      <c r="S23" s="8">
        <f>tallwindowsfloor*tallfloorssafe</f>
        <v>11.428571428571429</v>
      </c>
      <c r="W23" s="8" t="s">
        <v>113</v>
      </c>
      <c r="X23" s="8">
        <f>tallwindowsfloor*tallfloorssafe</f>
        <v>11.428571428571429</v>
      </c>
      <c r="AF23" s="4"/>
      <c r="AH23" s="4"/>
    </row>
    <row r="24" spans="1:34">
      <c r="D24" s="14"/>
      <c r="F24" t="s">
        <v>157</v>
      </c>
      <c r="K24" s="8"/>
      <c r="L24" s="8"/>
      <c r="M24" s="8"/>
      <c r="N24" s="8"/>
      <c r="R24" s="8"/>
      <c r="S24" s="8"/>
      <c r="W24" s="8"/>
      <c r="X24" s="8"/>
      <c r="AF24" s="4"/>
      <c r="AH24" s="4"/>
    </row>
    <row r="25" spans="1:34" ht="18.75">
      <c r="J25" s="14"/>
      <c r="M25" s="17" t="s">
        <v>25</v>
      </c>
      <c r="N25" s="17">
        <f>med4windowwidth</f>
        <v>12</v>
      </c>
      <c r="P25" s="75">
        <f>F10</f>
        <v>12</v>
      </c>
      <c r="R25" s="17" t="s">
        <v>25</v>
      </c>
      <c r="S25" s="17">
        <f>med4windowwidth</f>
        <v>12</v>
      </c>
      <c r="U25" s="75">
        <f>K10</f>
        <v>0</v>
      </c>
      <c r="W25" s="17" t="s">
        <v>25</v>
      </c>
      <c r="X25" s="17">
        <f>med4windowwidth</f>
        <v>12</v>
      </c>
      <c r="AF25" s="3"/>
      <c r="AH25" s="3"/>
    </row>
    <row r="26" spans="1:34">
      <c r="G26" s="14"/>
      <c r="J26" s="14"/>
      <c r="M26" s="17" t="s">
        <v>26</v>
      </c>
      <c r="N26" s="17">
        <f>med4windowhight</f>
        <v>13</v>
      </c>
      <c r="P26" s="75">
        <f>F9</f>
        <v>13</v>
      </c>
      <c r="R26" s="17" t="s">
        <v>26</v>
      </c>
      <c r="S26" s="17">
        <f>med4windowhight</f>
        <v>13</v>
      </c>
      <c r="U26" s="75">
        <f>K9</f>
        <v>0</v>
      </c>
      <c r="W26" s="17" t="s">
        <v>26</v>
      </c>
      <c r="X26" s="17">
        <f>med4windowhight</f>
        <v>13</v>
      </c>
      <c r="Z26" s="75"/>
      <c r="AF26" s="4"/>
      <c r="AH26" s="4"/>
    </row>
    <row r="27" spans="1:34">
      <c r="A27" s="17" t="s">
        <v>60</v>
      </c>
      <c r="B27" s="17"/>
      <c r="D27" s="14"/>
      <c r="J27" s="14"/>
      <c r="Z27" s="75"/>
      <c r="AF27" s="2"/>
      <c r="AH27" s="2"/>
    </row>
    <row r="28" spans="1:34">
      <c r="C28" t="s">
        <v>61</v>
      </c>
      <c r="D28" s="14">
        <f>P25*P26</f>
        <v>156</v>
      </c>
      <c r="J28" s="14"/>
      <c r="M28" t="s">
        <v>114</v>
      </c>
      <c r="N28" s="14">
        <f>med4windowwidth*med4windowhight</f>
        <v>156</v>
      </c>
      <c r="R28" t="s">
        <v>114</v>
      </c>
      <c r="S28" s="14">
        <f>tallwindow_width*tallwindowheight</f>
        <v>156</v>
      </c>
      <c r="W28" t="s">
        <v>114</v>
      </c>
      <c r="X28" s="14">
        <f>tallwindow_width*tallwindowheight</f>
        <v>156</v>
      </c>
      <c r="AF28" s="2"/>
      <c r="AH28" s="2"/>
    </row>
    <row r="29" spans="1:34">
      <c r="C29" t="s">
        <v>62</v>
      </c>
      <c r="D29" s="14">
        <f>sq_ft_per_w*w_per_floor</f>
        <v>624</v>
      </c>
      <c r="I29" s="8"/>
      <c r="J29" s="14"/>
      <c r="M29" t="s">
        <v>115</v>
      </c>
      <c r="N29" s="14">
        <f>med4windowonesqft*Med4windowsperfloor</f>
        <v>2496</v>
      </c>
      <c r="R29" t="s">
        <v>115</v>
      </c>
      <c r="S29" s="14">
        <f>S28*tallwindowsfloor</f>
        <v>624</v>
      </c>
      <c r="W29" t="s">
        <v>115</v>
      </c>
      <c r="X29" s="14">
        <f>X28*tall4windows_per_floor</f>
        <v>2496</v>
      </c>
      <c r="AF29" s="2"/>
      <c r="AH29" s="2"/>
    </row>
    <row r="30" spans="1:34">
      <c r="C30" t="s">
        <v>19</v>
      </c>
      <c r="D30" s="14">
        <f>windowssq_ft_per_floor*numfloors</f>
        <v>5616</v>
      </c>
      <c r="E30" s="9"/>
      <c r="H30" t="s">
        <v>46</v>
      </c>
      <c r="I30" s="8">
        <f>K23</f>
        <v>0</v>
      </c>
      <c r="J30" s="14"/>
      <c r="M30" t="s">
        <v>116</v>
      </c>
      <c r="N30" s="14">
        <f>med4swindowq_ftper_floor*med4totalfloors</f>
        <v>22285.714285714286</v>
      </c>
      <c r="R30" t="s">
        <v>116</v>
      </c>
      <c r="S30" s="14">
        <f>S29*tallnumfloors</f>
        <v>11142.857142857143</v>
      </c>
      <c r="W30" t="s">
        <v>116</v>
      </c>
      <c r="X30" s="14">
        <f>X29*tallnumfloors</f>
        <v>44571.428571428572</v>
      </c>
      <c r="AF30" s="4"/>
      <c r="AH30" s="4"/>
    </row>
    <row r="31" spans="1:34">
      <c r="C31" s="22" t="s">
        <v>67</v>
      </c>
      <c r="D31" s="14">
        <f>windowssq_ft_per_floor*Bird_Safe_Floors</f>
        <v>4368</v>
      </c>
      <c r="H31" s="17" t="s">
        <v>57</v>
      </c>
      <c r="J31" s="14">
        <f>bldgwidth*bldgdepth</f>
        <v>3600</v>
      </c>
      <c r="M31" t="s">
        <v>117</v>
      </c>
      <c r="N31" s="14">
        <f>med4swindowq_ftper_floor*med4safefloors</f>
        <v>7131.4285714285716</v>
      </c>
      <c r="R31" t="s">
        <v>117</v>
      </c>
      <c r="S31" s="14">
        <f>S29*tallfloorssafe</f>
        <v>1782.8571428571429</v>
      </c>
      <c r="W31" t="s">
        <v>117</v>
      </c>
      <c r="X31" s="14">
        <f>X29*tallfloorssafe</f>
        <v>7131.4285714285716</v>
      </c>
      <c r="AF31" s="2"/>
    </row>
    <row r="32" spans="1:34">
      <c r="F32" s="56"/>
      <c r="H32" s="17" t="s">
        <v>11</v>
      </c>
      <c r="J32" s="14" t="e">
        <f>sq_ft_per_floor*numfloors</f>
        <v>#NAME?</v>
      </c>
      <c r="AF32" s="2"/>
    </row>
    <row r="33" spans="1:32" ht="26.25">
      <c r="A33" s="16" t="s">
        <v>12</v>
      </c>
      <c r="B33" s="16"/>
      <c r="C33" s="9"/>
      <c r="D33" s="9"/>
      <c r="E33" s="31"/>
      <c r="J33" s="14"/>
      <c r="AF33" s="2"/>
    </row>
    <row r="34" spans="1:32">
      <c r="A34" s="15" t="s">
        <v>20</v>
      </c>
      <c r="B34" s="15"/>
      <c r="C34" s="47">
        <f>F8</f>
        <v>562</v>
      </c>
      <c r="D34" s="9" t="s">
        <v>95</v>
      </c>
      <c r="H34" s="21" t="s">
        <v>7</v>
      </c>
      <c r="J34" s="14"/>
      <c r="M34" s="15" t="s">
        <v>20</v>
      </c>
      <c r="N34" s="47">
        <f>med4bldgcossqft</f>
        <v>562</v>
      </c>
      <c r="R34" s="15" t="s">
        <v>20</v>
      </c>
      <c r="S34" s="47">
        <f>tallbuildcostsqfoot</f>
        <v>660</v>
      </c>
      <c r="W34" s="15" t="s">
        <v>20</v>
      </c>
      <c r="X34" s="47">
        <f>tallbuildcostsqfoot</f>
        <v>660</v>
      </c>
      <c r="AF34" s="2"/>
    </row>
    <row r="35" spans="1:32">
      <c r="A35" s="15"/>
      <c r="B35" s="15"/>
      <c r="C35" s="30"/>
      <c r="D35" s="30"/>
      <c r="J35" s="14"/>
      <c r="O35" s="30"/>
      <c r="T35" s="30"/>
      <c r="Y35" s="30"/>
    </row>
    <row r="36" spans="1:32">
      <c r="A36" s="15" t="s">
        <v>96</v>
      </c>
      <c r="B36" s="15"/>
      <c r="C36" s="51">
        <f>D16*F8</f>
        <v>18208800</v>
      </c>
      <c r="H36" t="s">
        <v>21</v>
      </c>
      <c r="I36">
        <v>16</v>
      </c>
      <c r="J36" s="14"/>
      <c r="M36" s="15" t="s">
        <v>96</v>
      </c>
      <c r="N36" s="89">
        <f>N34*N18</f>
        <v>18064285.714285716</v>
      </c>
      <c r="O36" s="90"/>
      <c r="P36" s="9"/>
      <c r="Q36" s="78"/>
      <c r="R36" s="91" t="s">
        <v>96</v>
      </c>
      <c r="S36" s="89">
        <f>S34*tallbldgsq_ft_building</f>
        <v>169714285.71428573</v>
      </c>
      <c r="T36" s="64"/>
      <c r="W36" s="91" t="s">
        <v>96</v>
      </c>
      <c r="X36" s="89">
        <f>X34*tallbldgsq_ft_building</f>
        <v>169714285.71428573</v>
      </c>
      <c r="Y36" s="64"/>
      <c r="AF36" s="2"/>
    </row>
    <row r="37" spans="1:32">
      <c r="A37" s="15"/>
      <c r="B37" s="15"/>
      <c r="C37" s="30"/>
      <c r="D37" s="9"/>
      <c r="F37" s="21"/>
      <c r="J37" s="14"/>
      <c r="AF37" s="2"/>
    </row>
    <row r="38" spans="1:32" ht="60">
      <c r="A38" s="15" t="s">
        <v>15</v>
      </c>
      <c r="B38" s="15"/>
      <c r="C38" s="50">
        <f>F13</f>
        <v>25</v>
      </c>
      <c r="E38" s="21" t="s">
        <v>93</v>
      </c>
      <c r="H38" t="s">
        <v>24</v>
      </c>
      <c r="J38" s="14">
        <f>w_per_floor*numfloors</f>
        <v>36</v>
      </c>
      <c r="M38" s="21" t="s">
        <v>119</v>
      </c>
      <c r="N38" s="65">
        <f>med4glasscostsqft</f>
        <v>25</v>
      </c>
      <c r="P38" s="76" t="s">
        <v>93</v>
      </c>
      <c r="R38" s="21" t="s">
        <v>119</v>
      </c>
      <c r="S38" s="65">
        <f>tallglasscostsqft</f>
        <v>50</v>
      </c>
      <c r="U38" s="76" t="s">
        <v>93</v>
      </c>
      <c r="W38" s="21" t="s">
        <v>119</v>
      </c>
      <c r="X38" s="65">
        <f>tallglasscostsqft</f>
        <v>50</v>
      </c>
      <c r="AF38" s="2"/>
    </row>
    <row r="39" spans="1:32" ht="30">
      <c r="A39" s="15" t="s">
        <v>94</v>
      </c>
      <c r="B39" s="15"/>
      <c r="C39" s="12">
        <v>0.11</v>
      </c>
      <c r="D39" s="11">
        <f>Glass_cost_sq_foot*C39</f>
        <v>2.75</v>
      </c>
      <c r="E39" s="11">
        <f>Glass_cost_sq_foot+D39</f>
        <v>27.75</v>
      </c>
      <c r="F39" s="9" t="s">
        <v>94</v>
      </c>
      <c r="H39" t="s">
        <v>23</v>
      </c>
      <c r="I39" s="8" t="str">
        <f>M23</f>
        <v>safe windows total</v>
      </c>
      <c r="J39" s="14" t="str">
        <f>C23</f>
        <v>windows req safe</v>
      </c>
      <c r="M39" s="63" t="s">
        <v>94</v>
      </c>
      <c r="N39" s="12">
        <v>0.11</v>
      </c>
      <c r="O39" s="11">
        <f>$N$38*N39</f>
        <v>2.75</v>
      </c>
      <c r="P39" s="32">
        <f>$N$38+O39</f>
        <v>27.75</v>
      </c>
      <c r="R39" s="63" t="s">
        <v>94</v>
      </c>
      <c r="S39" s="12">
        <v>0.11</v>
      </c>
      <c r="T39" s="11">
        <f>tallglasscostsqft*S39</f>
        <v>5.5</v>
      </c>
      <c r="U39" s="32">
        <f>tallglasscostsqft+T39</f>
        <v>55.5</v>
      </c>
      <c r="W39" s="63" t="s">
        <v>94</v>
      </c>
      <c r="X39" s="12">
        <v>0.11</v>
      </c>
      <c r="Y39" s="11">
        <f>tallglasscostsqft*X39</f>
        <v>5.5</v>
      </c>
      <c r="Z39" s="76" t="s">
        <v>93</v>
      </c>
      <c r="AF39" s="99">
        <f>X38+Y39</f>
        <v>55.5</v>
      </c>
    </row>
    <row r="40" spans="1:32">
      <c r="C40" s="12">
        <v>0.28000000000000003</v>
      </c>
      <c r="D40" s="11">
        <f>Glass_cost_sq_foot*C40</f>
        <v>7.0000000000000009</v>
      </c>
      <c r="E40" s="11">
        <f>Glass_cost_sq_foot+D40</f>
        <v>32</v>
      </c>
      <c r="I40" t="s">
        <v>8</v>
      </c>
      <c r="J40" s="14"/>
      <c r="M40" s="63"/>
      <c r="N40" s="12">
        <v>0.28000000000000003</v>
      </c>
      <c r="O40" s="11">
        <f>$N$38*N40</f>
        <v>7.0000000000000009</v>
      </c>
      <c r="P40" s="32">
        <f>$N$38+O40</f>
        <v>32</v>
      </c>
      <c r="R40" s="63"/>
      <c r="S40" s="12">
        <v>0.28000000000000003</v>
      </c>
      <c r="T40" s="11">
        <f>tallglasscostsqft*S40</f>
        <v>14.000000000000002</v>
      </c>
      <c r="U40" s="32">
        <f>tallglasscostsqft+T40</f>
        <v>64</v>
      </c>
      <c r="W40" s="63"/>
      <c r="X40" s="12">
        <v>0.28000000000000003</v>
      </c>
      <c r="Y40" s="11">
        <f>tallglasscostsqft*X40</f>
        <v>14.000000000000002</v>
      </c>
      <c r="Z40" s="32">
        <f>tallglasscostsqft+Y39</f>
        <v>55.5</v>
      </c>
      <c r="AF40" s="99">
        <f t="shared" ref="AF40:AF41" si="0">X39+Y40</f>
        <v>14.110000000000001</v>
      </c>
    </row>
    <row r="41" spans="1:32">
      <c r="C41" s="12">
        <v>0.55000000000000004</v>
      </c>
      <c r="D41" s="11">
        <f>Glass_cost_sq_foot*C41</f>
        <v>13.750000000000002</v>
      </c>
      <c r="E41" s="11">
        <f>Glass_cost_sq_foot+D41</f>
        <v>38.75</v>
      </c>
      <c r="F41" s="11"/>
      <c r="J41" s="14"/>
      <c r="M41" s="63"/>
      <c r="N41" s="12">
        <v>0.55000000000000004</v>
      </c>
      <c r="O41" s="11">
        <f>$N$38*N41</f>
        <v>13.750000000000002</v>
      </c>
      <c r="P41" s="32">
        <f>$N$38+O41</f>
        <v>38.75</v>
      </c>
      <c r="R41" s="63"/>
      <c r="S41" s="12">
        <v>0.55000000000000004</v>
      </c>
      <c r="T41" s="11">
        <f>tallglasscostsqft*S41</f>
        <v>27.500000000000004</v>
      </c>
      <c r="U41" s="32">
        <f>tallglasscostsqft+T41</f>
        <v>77.5</v>
      </c>
      <c r="W41" s="63"/>
      <c r="X41" s="12">
        <v>0.55000000000000004</v>
      </c>
      <c r="Y41" s="11">
        <f>tallglasscostsqft*X41</f>
        <v>27.500000000000004</v>
      </c>
      <c r="Z41" s="32">
        <f>tallglasscostsqft+Y40</f>
        <v>64</v>
      </c>
      <c r="AF41" s="99">
        <f t="shared" si="0"/>
        <v>27.780000000000005</v>
      </c>
    </row>
    <row r="42" spans="1:32">
      <c r="A42" s="15" t="s">
        <v>55</v>
      </c>
      <c r="B42" s="15"/>
      <c r="C42" s="28">
        <f>Glass_cost_sq_foot*windowssq_ft_per_floor</f>
        <v>15600</v>
      </c>
      <c r="E42" s="11"/>
      <c r="J42" s="14"/>
      <c r="M42" s="63" t="s">
        <v>55</v>
      </c>
      <c r="N42" s="28">
        <f>C42</f>
        <v>15600</v>
      </c>
      <c r="O42" s="28"/>
      <c r="R42" s="63" t="s">
        <v>55</v>
      </c>
      <c r="S42" s="28">
        <f>tallwindows_sq_ft_per_floor*S38</f>
        <v>31200</v>
      </c>
      <c r="T42" s="28"/>
      <c r="W42" s="63" t="s">
        <v>55</v>
      </c>
      <c r="X42" s="28">
        <f>tallglasscostsqft*X29</f>
        <v>124800</v>
      </c>
      <c r="Y42" s="28"/>
      <c r="Z42" s="32">
        <f>tallglasscostsqft+Y41</f>
        <v>77.5</v>
      </c>
      <c r="AF42" s="2"/>
    </row>
    <row r="43" spans="1:32" ht="26.25">
      <c r="E43" s="11"/>
      <c r="F43" s="14"/>
      <c r="H43" s="16" t="s">
        <v>17</v>
      </c>
      <c r="J43" s="14"/>
      <c r="M43" s="63"/>
      <c r="R43" s="63"/>
      <c r="W43" s="63"/>
      <c r="AF43" s="2"/>
    </row>
    <row r="44" spans="1:32">
      <c r="A44" s="15" t="s">
        <v>56</v>
      </c>
      <c r="B44" s="15"/>
      <c r="C44" s="12">
        <v>0.11</v>
      </c>
      <c r="D44" s="9">
        <f>windowssq_ft_per_floor*E39</f>
        <v>17316</v>
      </c>
      <c r="E44" s="70"/>
      <c r="F44" s="11"/>
      <c r="G44" s="11" t="s">
        <v>69</v>
      </c>
      <c r="I44" t="s">
        <v>18</v>
      </c>
      <c r="J44" s="14">
        <v>4</v>
      </c>
      <c r="M44" s="63" t="s">
        <v>56</v>
      </c>
      <c r="N44" s="12">
        <v>0.11</v>
      </c>
      <c r="O44" s="9">
        <f>med4unsafeflrcost*(100%+N44)</f>
        <v>17316</v>
      </c>
      <c r="P44" s="9"/>
      <c r="R44" s="63" t="s">
        <v>56</v>
      </c>
      <c r="S44" s="12">
        <v>0.11</v>
      </c>
      <c r="T44" s="9">
        <f>tallwindowcostsqftt*S29</f>
        <v>34632</v>
      </c>
      <c r="U44" s="9"/>
      <c r="W44" s="63" t="s">
        <v>56</v>
      </c>
      <c r="X44" s="12">
        <v>0.11</v>
      </c>
      <c r="Y44" s="9">
        <f>tallwindowcostsqftt*X29</f>
        <v>138528</v>
      </c>
      <c r="AF44" s="2"/>
    </row>
    <row r="45" spans="1:32">
      <c r="A45" s="15"/>
      <c r="B45" s="15"/>
      <c r="C45" s="12">
        <v>0.28000000000000003</v>
      </c>
      <c r="D45" s="9">
        <f>windowssq_ft_per_floor*E40</f>
        <v>19968</v>
      </c>
      <c r="E45" s="11"/>
      <c r="H45" s="17" t="s">
        <v>25</v>
      </c>
      <c r="J45" s="14">
        <v>12</v>
      </c>
      <c r="M45" s="15"/>
      <c r="N45" s="12">
        <v>0.28000000000000003</v>
      </c>
      <c r="O45" s="9">
        <f>med4unsafeflrcost*(100%+N45)</f>
        <v>19968</v>
      </c>
      <c r="P45" s="9"/>
      <c r="R45" s="15"/>
      <c r="S45" s="12">
        <v>0.28000000000000003</v>
      </c>
      <c r="T45" s="9">
        <f>tallwindows_sq_ft_per_floor*U40</f>
        <v>39936</v>
      </c>
      <c r="U45" s="9"/>
      <c r="W45" s="15"/>
      <c r="X45" s="12">
        <v>0.28000000000000003</v>
      </c>
      <c r="Y45" s="9">
        <f>tallwindows_sq_ft_per_floor*Z41</f>
        <v>39936</v>
      </c>
      <c r="Z45" s="9"/>
      <c r="AF45" s="2"/>
    </row>
    <row r="46" spans="1:32">
      <c r="A46" s="15"/>
      <c r="B46" s="15"/>
      <c r="C46" s="12">
        <v>0.55000000000000004</v>
      </c>
      <c r="D46" s="9">
        <f>windowssq_ft_per_floor*E41</f>
        <v>24180</v>
      </c>
      <c r="E46" s="11"/>
      <c r="F46" s="9"/>
      <c r="H46" s="17" t="s">
        <v>26</v>
      </c>
      <c r="J46" s="14">
        <v>13</v>
      </c>
      <c r="M46" s="15"/>
      <c r="N46" s="12">
        <v>0.55000000000000004</v>
      </c>
      <c r="O46" s="9">
        <f>med4unsafeflrcost*(100%+N46)</f>
        <v>24180</v>
      </c>
      <c r="P46" s="9"/>
      <c r="R46" s="15"/>
      <c r="S46" s="12">
        <v>0.55000000000000004</v>
      </c>
      <c r="T46" s="9">
        <f>tallwindows_sq_ft_per_floor*U41</f>
        <v>48360</v>
      </c>
      <c r="U46" s="9"/>
      <c r="W46" s="15"/>
      <c r="X46" s="12">
        <v>0.55000000000000004</v>
      </c>
      <c r="Y46" s="9">
        <f>tallwindows_sq_ft_per_floor*Z42</f>
        <v>48360</v>
      </c>
      <c r="Z46" s="9"/>
      <c r="AF46" s="2"/>
    </row>
    <row r="47" spans="1:32">
      <c r="A47" s="15"/>
      <c r="B47" s="15"/>
      <c r="C47" s="11"/>
      <c r="D47" s="11"/>
      <c r="E47" s="11"/>
      <c r="H47" s="17"/>
      <c r="J47" s="14"/>
      <c r="Z47" s="9"/>
      <c r="AF47" s="2"/>
    </row>
    <row r="48" spans="1:32" ht="16.5" customHeight="1">
      <c r="A48" s="15" t="s">
        <v>68</v>
      </c>
      <c r="B48" s="15"/>
      <c r="C48" s="11"/>
      <c r="D48" s="12"/>
      <c r="E48" s="11"/>
      <c r="F48" s="11"/>
      <c r="I48" t="s">
        <v>16</v>
      </c>
      <c r="J48" s="14">
        <f>J45*J46</f>
        <v>156</v>
      </c>
      <c r="M48" s="63" t="s">
        <v>68</v>
      </c>
      <c r="N48" s="15"/>
      <c r="Q48" s="84"/>
      <c r="R48" s="63" t="s">
        <v>68</v>
      </c>
      <c r="S48" s="15"/>
      <c r="V48" s="93"/>
      <c r="W48" s="63" t="s">
        <v>121</v>
      </c>
      <c r="X48" s="15"/>
      <c r="AF48" s="2"/>
    </row>
    <row r="49" spans="1:43" ht="24.75" customHeight="1">
      <c r="A49" s="12">
        <v>0.11</v>
      </c>
      <c r="B49" s="12"/>
      <c r="C49" s="32">
        <f>D44-$C$42</f>
        <v>1716</v>
      </c>
      <c r="D49" s="32"/>
      <c r="E49" s="32">
        <f>C49*4</f>
        <v>6864</v>
      </c>
      <c r="F49" s="21"/>
      <c r="I49" t="s">
        <v>58</v>
      </c>
      <c r="J49" s="14">
        <f>J48*16</f>
        <v>2496</v>
      </c>
      <c r="N49" s="12">
        <v>0.11</v>
      </c>
      <c r="O49" s="9">
        <f>O44-$N$42</f>
        <v>1716</v>
      </c>
      <c r="S49" s="12">
        <v>0.11</v>
      </c>
      <c r="T49" s="9">
        <f>T44-$S$42</f>
        <v>3432</v>
      </c>
      <c r="V49" s="94"/>
      <c r="X49" s="12">
        <v>0.11</v>
      </c>
      <c r="Y49" s="9">
        <f>Y44-X42</f>
        <v>13728</v>
      </c>
      <c r="AF49" s="2"/>
    </row>
    <row r="50" spans="1:43">
      <c r="A50" s="12">
        <v>0.28000000000000003</v>
      </c>
      <c r="B50" s="12"/>
      <c r="C50" s="32">
        <f>D45-C42</f>
        <v>4368</v>
      </c>
      <c r="D50" s="32">
        <f>C50*7</f>
        <v>30576</v>
      </c>
      <c r="J50" s="14"/>
      <c r="N50" s="12">
        <v>0.28000000000000003</v>
      </c>
      <c r="O50" s="9">
        <f t="shared" ref="O50:O51" si="1">O45-$N$42</f>
        <v>4368</v>
      </c>
      <c r="Q50" s="85"/>
      <c r="S50" s="12">
        <v>0.28000000000000003</v>
      </c>
      <c r="T50" s="9">
        <f>T45-$S$42</f>
        <v>8736</v>
      </c>
      <c r="V50" s="95"/>
      <c r="X50" s="12">
        <v>0.28000000000000003</v>
      </c>
      <c r="Y50" s="9">
        <f t="shared" ref="Y50:Y51" si="2">Y45-X43</f>
        <v>39936</v>
      </c>
      <c r="AF50" s="2"/>
    </row>
    <row r="51" spans="1:43">
      <c r="A51" s="12">
        <v>0.55000000000000004</v>
      </c>
      <c r="B51" s="12"/>
      <c r="C51" s="32">
        <f>D46-$C$42</f>
        <v>8580</v>
      </c>
      <c r="J51" s="14"/>
      <c r="N51" s="12">
        <v>0.55000000000000004</v>
      </c>
      <c r="O51" s="9">
        <f t="shared" si="1"/>
        <v>8580</v>
      </c>
      <c r="Q51" s="85"/>
      <c r="S51" s="12">
        <v>0.55000000000000004</v>
      </c>
      <c r="T51" s="9">
        <f>T46-$S$42</f>
        <v>17160</v>
      </c>
      <c r="V51" s="95"/>
      <c r="X51" s="12">
        <v>0.55000000000000004</v>
      </c>
      <c r="Y51" s="9">
        <f t="shared" si="2"/>
        <v>48359.89</v>
      </c>
      <c r="AF51" s="2"/>
    </row>
    <row r="52" spans="1:43" ht="26.25">
      <c r="A52" s="15"/>
      <c r="B52" s="15"/>
      <c r="C52" s="11"/>
      <c r="H52" s="16"/>
      <c r="I52" s="9"/>
      <c r="J52" s="9"/>
      <c r="Q52" s="85"/>
      <c r="V52" s="95"/>
      <c r="AF52" s="2"/>
      <c r="AI52" s="1"/>
    </row>
    <row r="53" spans="1:43" ht="30">
      <c r="A53" s="22" t="s">
        <v>71</v>
      </c>
      <c r="B53" s="22"/>
      <c r="E53" s="8"/>
      <c r="G53" s="8"/>
      <c r="I53" s="9"/>
      <c r="J53" s="9"/>
      <c r="M53" s="68" t="s">
        <v>71</v>
      </c>
      <c r="N53" s="22"/>
      <c r="R53" s="68" t="s">
        <v>71</v>
      </c>
      <c r="S53" s="22"/>
      <c r="W53" s="68" t="s">
        <v>125</v>
      </c>
      <c r="X53" s="22"/>
      <c r="AF53" s="2"/>
      <c r="AI53" s="4" t="s">
        <v>44</v>
      </c>
    </row>
    <row r="54" spans="1:43" ht="27" customHeight="1">
      <c r="A54" s="12">
        <v>0.11</v>
      </c>
      <c r="B54" s="12"/>
      <c r="C54" s="40">
        <f>C49*Bird_Safe_Floors</f>
        <v>12012</v>
      </c>
      <c r="E54" s="9"/>
      <c r="F54">
        <v>20</v>
      </c>
      <c r="I54" s="9"/>
      <c r="J54" s="9"/>
      <c r="M54" s="12">
        <v>0.11</v>
      </c>
      <c r="N54" s="12"/>
      <c r="O54" s="40">
        <f>O49*med4safefloors</f>
        <v>4902.8571428571431</v>
      </c>
      <c r="Q54" s="79"/>
      <c r="R54" s="12">
        <v>0.11</v>
      </c>
      <c r="S54" s="12"/>
      <c r="T54" s="40">
        <f>T49*Bird_Safe_Floors</f>
        <v>24024</v>
      </c>
      <c r="W54" s="12">
        <v>0.11</v>
      </c>
      <c r="X54" s="12"/>
      <c r="Y54" s="40">
        <f>Y49*Bird_Safe_Floors</f>
        <v>96096</v>
      </c>
      <c r="AF54" s="2"/>
      <c r="AI54" s="4"/>
    </row>
    <row r="55" spans="1:43" ht="18.75">
      <c r="A55" s="12">
        <v>0.28000000000000003</v>
      </c>
      <c r="B55" s="12"/>
      <c r="C55" s="40">
        <f>C50*Bird_Safe_Floors</f>
        <v>30576</v>
      </c>
      <c r="G55">
        <f>80*15</f>
        <v>1200</v>
      </c>
      <c r="H55" s="15"/>
      <c r="I55" s="9"/>
      <c r="J55" s="9"/>
      <c r="M55" s="12">
        <v>0.28000000000000003</v>
      </c>
      <c r="N55" s="12"/>
      <c r="O55" s="40">
        <f>O50*med4safefloors</f>
        <v>12480</v>
      </c>
      <c r="P55" s="9">
        <f>C55-O55</f>
        <v>18096</v>
      </c>
      <c r="Q55" s="86"/>
      <c r="R55" s="12">
        <v>0.28000000000000003</v>
      </c>
      <c r="S55" s="12"/>
      <c r="T55" s="40">
        <f>T50*Bird_Safe_Floors</f>
        <v>61152</v>
      </c>
      <c r="V55" s="96"/>
      <c r="W55" s="12">
        <v>0.28000000000000003</v>
      </c>
      <c r="X55" s="12"/>
      <c r="Y55" s="40">
        <f>Y50*Bird_Safe_Floors</f>
        <v>279552</v>
      </c>
      <c r="AF55" s="2"/>
      <c r="AI55" s="3"/>
    </row>
    <row r="56" spans="1:43">
      <c r="A56" s="12">
        <v>0.55000000000000004</v>
      </c>
      <c r="B56" s="12"/>
      <c r="C56" s="40">
        <f>C51*Bird_Safe_Floors</f>
        <v>60060</v>
      </c>
      <c r="F56" s="9"/>
      <c r="H56" s="15" t="s">
        <v>15</v>
      </c>
      <c r="I56" s="11">
        <f>I85</f>
        <v>25</v>
      </c>
      <c r="J56" s="12">
        <v>0.1</v>
      </c>
      <c r="K56" s="11">
        <f>Glass_cost_sq_foot*J56</f>
        <v>2.5</v>
      </c>
      <c r="M56" s="12">
        <v>0.55000000000000004</v>
      </c>
      <c r="N56" s="12"/>
      <c r="O56" s="40">
        <f>O51*med4safefloors</f>
        <v>24514.285714285714</v>
      </c>
      <c r="Q56" s="86"/>
      <c r="R56" s="12">
        <v>0.55000000000000004</v>
      </c>
      <c r="S56" s="12"/>
      <c r="T56" s="40">
        <f>T51*Bird_Safe_Floors</f>
        <v>120120</v>
      </c>
      <c r="V56" s="96"/>
      <c r="W56" s="12">
        <v>0.55000000000000004</v>
      </c>
      <c r="X56" s="12"/>
      <c r="Y56" s="40">
        <f>Y51*Bird_Safe_Floors</f>
        <v>338519.23</v>
      </c>
      <c r="AF56" s="99"/>
      <c r="AI56" s="4" t="s">
        <v>45</v>
      </c>
    </row>
    <row r="57" spans="1:43">
      <c r="H57" s="15"/>
      <c r="I57" s="11"/>
      <c r="J57" s="12">
        <v>0.25</v>
      </c>
      <c r="K57" s="11">
        <f>Glass_cost_sq_foot*J57</f>
        <v>6.25</v>
      </c>
      <c r="Q57" s="86"/>
      <c r="V57" s="96"/>
      <c r="AF57" s="2"/>
      <c r="AI57" s="2"/>
    </row>
    <row r="58" spans="1:43">
      <c r="C58" t="s">
        <v>129</v>
      </c>
      <c r="E58" s="9"/>
      <c r="H58" s="15"/>
      <c r="I58" s="11"/>
      <c r="J58" s="12">
        <v>0.5</v>
      </c>
      <c r="K58" s="11">
        <f>Glass_cost_sq_foot*J58</f>
        <v>12.5</v>
      </c>
      <c r="AF58" s="2"/>
      <c r="AI58" s="2"/>
    </row>
    <row r="59" spans="1:43" s="22" customFormat="1" ht="30.75" customHeight="1">
      <c r="A59" s="38" t="s">
        <v>70</v>
      </c>
      <c r="B59" s="38"/>
      <c r="C59" s="12">
        <v>0.11</v>
      </c>
      <c r="D59" s="57">
        <f>C54/buildingcost</f>
        <v>6.5968103334651377E-4</v>
      </c>
      <c r="H59" s="54" t="s">
        <v>55</v>
      </c>
      <c r="I59" s="29" t="e">
        <f>Glass_cost_sq_foot*sq_ft_per_floor</f>
        <v>#NAME?</v>
      </c>
      <c r="K59" s="24"/>
      <c r="M59" s="66" t="s">
        <v>70</v>
      </c>
      <c r="N59" s="12">
        <v>0.11</v>
      </c>
      <c r="O59" s="57">
        <f>O54/buildingcost</f>
        <v>2.6925756463123013E-4</v>
      </c>
      <c r="Q59" s="87"/>
      <c r="R59" s="66" t="s">
        <v>70</v>
      </c>
      <c r="S59" s="12">
        <v>0.11</v>
      </c>
      <c r="T59" s="57">
        <f>T54/buildingcost</f>
        <v>1.3193620666930275E-3</v>
      </c>
      <c r="V59" s="97"/>
      <c r="W59" s="100" t="s">
        <v>70</v>
      </c>
      <c r="X59" s="12">
        <v>0.11</v>
      </c>
      <c r="Y59" s="57">
        <f>Y54/buildingcost</f>
        <v>5.2774482667721102E-3</v>
      </c>
      <c r="Z59"/>
      <c r="AF59" s="55"/>
      <c r="AI59" s="2"/>
      <c r="AJ59"/>
      <c r="AK59"/>
      <c r="AL59"/>
      <c r="AM59"/>
      <c r="AN59"/>
      <c r="AO59"/>
      <c r="AP59"/>
      <c r="AQ59"/>
    </row>
    <row r="60" spans="1:43">
      <c r="A60" s="15"/>
      <c r="B60" s="15"/>
      <c r="C60" s="12">
        <v>0.28000000000000003</v>
      </c>
      <c r="D60" s="57">
        <f>C55/buildingcost</f>
        <v>1.6791880848820351E-3</v>
      </c>
      <c r="G60" s="40"/>
      <c r="H60" s="15" t="s">
        <v>56</v>
      </c>
      <c r="I60" s="12">
        <v>0.1</v>
      </c>
      <c r="J60" s="9" t="e">
        <f>D44:D46</f>
        <v>#VALUE!</v>
      </c>
      <c r="K60" s="11"/>
      <c r="M60" s="63"/>
      <c r="N60" s="12">
        <v>0.28000000000000003</v>
      </c>
      <c r="O60" s="57">
        <f>O55/buildingcost</f>
        <v>6.8538289178858569E-4</v>
      </c>
      <c r="P60" s="19">
        <f>cost_100ft_windows-O60</f>
        <v>9.9380519309344938E-4</v>
      </c>
      <c r="R60" s="63"/>
      <c r="S60" s="12">
        <v>0.28000000000000003</v>
      </c>
      <c r="T60" s="57">
        <f>T55/buildingcost</f>
        <v>3.3583761697640701E-3</v>
      </c>
      <c r="V60" s="98"/>
      <c r="W60" s="63"/>
      <c r="X60" s="12">
        <v>0.28000000000000003</v>
      </c>
      <c r="Y60" s="57">
        <f>Y55/buildingcost</f>
        <v>1.535257677606432E-2</v>
      </c>
      <c r="Z60" s="22"/>
      <c r="AF60" s="2"/>
      <c r="AI60" s="4" t="s">
        <v>47</v>
      </c>
    </row>
    <row r="61" spans="1:43">
      <c r="A61" s="12"/>
      <c r="B61" s="12"/>
      <c r="C61" s="12">
        <v>0.55000000000000004</v>
      </c>
      <c r="D61" s="57">
        <f>C56/buildingcost</f>
        <v>3.2984051667325691E-3</v>
      </c>
      <c r="G61" s="40"/>
      <c r="H61" s="15"/>
      <c r="I61" s="12">
        <v>0.25</v>
      </c>
      <c r="J61" s="9">
        <f>D45</f>
        <v>19968</v>
      </c>
      <c r="K61" s="11"/>
      <c r="M61" s="67"/>
      <c r="N61" s="12">
        <v>0.55000000000000004</v>
      </c>
      <c r="O61" s="57">
        <f>O56/buildingcost</f>
        <v>1.3462878231561505E-3</v>
      </c>
      <c r="R61" s="67"/>
      <c r="S61" s="12">
        <v>0.55000000000000004</v>
      </c>
      <c r="T61" s="57">
        <f>T56/buildingcost</f>
        <v>6.5968103334651381E-3</v>
      </c>
      <c r="V61" s="98"/>
      <c r="W61" s="67"/>
      <c r="X61" s="12">
        <v>0.55000000000000004</v>
      </c>
      <c r="Y61" s="57">
        <f>Y56/buildingcost</f>
        <v>1.8590968652519659E-2</v>
      </c>
      <c r="AF61" s="2"/>
    </row>
    <row r="62" spans="1:43">
      <c r="A62" s="12"/>
      <c r="B62" s="12"/>
      <c r="C62" s="12"/>
      <c r="D62" s="57"/>
      <c r="G62" s="40"/>
      <c r="H62" s="15"/>
      <c r="I62" s="12"/>
      <c r="J62" s="9"/>
      <c r="K62" s="11"/>
      <c r="M62" s="67"/>
      <c r="N62" s="12"/>
      <c r="O62" s="57"/>
      <c r="R62" s="67"/>
      <c r="S62" s="12"/>
      <c r="T62" s="57"/>
      <c r="V62" s="98"/>
      <c r="W62" s="67"/>
      <c r="X62" s="12"/>
      <c r="Y62" s="57"/>
      <c r="AF62" s="2"/>
    </row>
    <row r="63" spans="1:43" ht="45">
      <c r="A63" s="12"/>
      <c r="B63" s="12"/>
      <c r="C63" s="12"/>
      <c r="D63" s="57"/>
      <c r="E63" t="s">
        <v>151</v>
      </c>
      <c r="G63" s="40"/>
      <c r="H63" s="15"/>
      <c r="I63" s="12"/>
      <c r="J63" s="9"/>
      <c r="K63" s="11"/>
      <c r="M63" s="22" t="s">
        <v>133</v>
      </c>
      <c r="N63" s="12">
        <v>0.11</v>
      </c>
      <c r="O63" s="13">
        <f>O59/2</f>
        <v>1.3462878231561507E-4</v>
      </c>
      <c r="P63" s="19">
        <f>O59/2</f>
        <v>1.3462878231561507E-4</v>
      </c>
      <c r="S63" s="12"/>
      <c r="T63" s="57"/>
      <c r="V63" s="98"/>
      <c r="W63" s="67"/>
      <c r="X63" s="12"/>
      <c r="Y63" s="57"/>
      <c r="AF63" s="2"/>
    </row>
    <row r="64" spans="1:43" ht="45">
      <c r="A64" t="s">
        <v>133</v>
      </c>
      <c r="D64" s="19">
        <f>D59/2</f>
        <v>3.2984051667325689E-4</v>
      </c>
      <c r="G64" s="40"/>
      <c r="H64" s="15"/>
      <c r="I64" s="12"/>
      <c r="J64" s="9"/>
      <c r="K64" s="11"/>
      <c r="M64" s="12"/>
      <c r="N64" s="12">
        <v>0.28000000000000003</v>
      </c>
      <c r="O64" s="13">
        <f>O60/2</f>
        <v>3.4269144589429285E-4</v>
      </c>
      <c r="P64" s="19"/>
      <c r="R64" s="22" t="s">
        <v>133</v>
      </c>
      <c r="T64" s="19">
        <f>T59/2</f>
        <v>6.5968103334651377E-4</v>
      </c>
      <c r="U64" s="19"/>
      <c r="V64" s="98"/>
      <c r="W64" s="22" t="s">
        <v>133</v>
      </c>
      <c r="Y64" s="19">
        <f>Y59/2</f>
        <v>2.6387241333860551E-3</v>
      </c>
      <c r="AF64" s="2"/>
    </row>
    <row r="65" spans="1:32">
      <c r="A65" s="12"/>
      <c r="B65" s="12"/>
      <c r="C65" s="12"/>
      <c r="D65" s="19">
        <f>D60/2</f>
        <v>8.3959404244101754E-4</v>
      </c>
      <c r="E65" s="19">
        <f>cost_100ft_windows*0.3</f>
        <v>5.0375642546461054E-4</v>
      </c>
      <c r="G65" s="40"/>
      <c r="H65" s="15"/>
      <c r="I65" s="12"/>
      <c r="J65" s="9"/>
      <c r="K65" s="11"/>
      <c r="M65" s="12"/>
      <c r="N65" s="12">
        <v>0.55000000000000004</v>
      </c>
      <c r="O65" s="13">
        <f>O61/2</f>
        <v>6.7314391157807525E-4</v>
      </c>
      <c r="P65" s="19"/>
      <c r="R65" s="12"/>
      <c r="S65" s="12"/>
      <c r="T65" s="19">
        <f>T60/2</f>
        <v>1.6791880848820351E-3</v>
      </c>
      <c r="U65" s="19"/>
      <c r="V65" s="98"/>
      <c r="W65" s="12"/>
      <c r="X65" s="12"/>
      <c r="Y65" s="19">
        <f>Y60/2</f>
        <v>7.6762883880321601E-3</v>
      </c>
      <c r="Z65" s="19"/>
      <c r="AF65" s="2"/>
    </row>
    <row r="66" spans="1:32">
      <c r="A66" s="12"/>
      <c r="B66" s="12"/>
      <c r="C66" s="12"/>
      <c r="D66" s="19">
        <f>D61/2</f>
        <v>1.6492025833662845E-3</v>
      </c>
      <c r="G66" s="40"/>
      <c r="H66" s="15"/>
      <c r="I66" s="12"/>
      <c r="J66" s="9"/>
      <c r="K66" s="11"/>
      <c r="M66" s="67"/>
      <c r="N66" s="12"/>
      <c r="O66" s="57"/>
      <c r="R66" s="12"/>
      <c r="S66" s="12"/>
      <c r="T66" s="19">
        <f>T61/2</f>
        <v>3.2984051667325691E-3</v>
      </c>
      <c r="U66" s="19"/>
      <c r="V66" s="98"/>
      <c r="W66" s="12"/>
      <c r="X66" s="12"/>
      <c r="Y66" s="19">
        <f>Y61/2</f>
        <v>9.2954843262598296E-3</v>
      </c>
      <c r="Z66" s="19"/>
      <c r="AF66" s="2"/>
    </row>
    <row r="67" spans="1:32">
      <c r="D67" s="19"/>
      <c r="G67" s="40"/>
      <c r="H67" s="15"/>
      <c r="I67" s="12">
        <v>0.5</v>
      </c>
      <c r="J67" s="9">
        <f>D46</f>
        <v>24180</v>
      </c>
      <c r="K67" s="11"/>
      <c r="M67" s="63"/>
      <c r="N67" s="15"/>
      <c r="O67" s="9"/>
      <c r="P67" s="28"/>
      <c r="R67" s="63"/>
      <c r="S67" s="15"/>
      <c r="T67" s="9"/>
      <c r="U67" s="28"/>
      <c r="V67" s="98"/>
      <c r="W67" s="63"/>
      <c r="X67" s="15"/>
      <c r="Y67" s="9"/>
      <c r="Z67" s="19"/>
      <c r="AF67" s="2"/>
    </row>
    <row r="68" spans="1:32" ht="105">
      <c r="A68" s="39" t="s">
        <v>82</v>
      </c>
      <c r="B68" s="39"/>
      <c r="C68" s="9">
        <f>(buildingcost/2)*9%</f>
        <v>819396</v>
      </c>
      <c r="D68" s="29" t="s">
        <v>83</v>
      </c>
      <c r="F68" s="32"/>
      <c r="H68" s="15"/>
      <c r="I68" s="11"/>
      <c r="J68" s="11"/>
      <c r="K68" s="11"/>
      <c r="M68" s="102" t="s">
        <v>82</v>
      </c>
      <c r="N68" s="39"/>
      <c r="O68" s="101">
        <f>(med4Building_Cost/2)*9%</f>
        <v>812892.85714285716</v>
      </c>
      <c r="P68" s="103" t="s">
        <v>83</v>
      </c>
      <c r="R68" s="102" t="s">
        <v>82</v>
      </c>
      <c r="S68" s="101">
        <f>(tallBuilding_Cost/2)*9%</f>
        <v>7637142.8571428573</v>
      </c>
      <c r="T68" s="9"/>
      <c r="U68" s="29" t="s">
        <v>83</v>
      </c>
      <c r="W68" s="102" t="s">
        <v>82</v>
      </c>
      <c r="X68" s="101">
        <f>S68</f>
        <v>7637142.8571428573</v>
      </c>
      <c r="Y68" s="9"/>
      <c r="Z68" s="28"/>
      <c r="AF68" s="2"/>
    </row>
    <row r="69" spans="1:32" ht="20.25" customHeight="1">
      <c r="D69" s="8">
        <f>$C$68/C54</f>
        <v>68.214785214785209</v>
      </c>
      <c r="M69" s="21"/>
      <c r="N69">
        <f>150/1</f>
        <v>150</v>
      </c>
      <c r="P69" s="8">
        <f>$O$68/O54</f>
        <v>165.79982517482517</v>
      </c>
      <c r="R69" s="21"/>
      <c r="U69" s="8">
        <f>$S$68/T54</f>
        <v>317.89638932496075</v>
      </c>
      <c r="W69" s="21"/>
      <c r="X69" s="14">
        <f>$X$68/Y54</f>
        <v>79.474097331240188</v>
      </c>
      <c r="Y69" s="8"/>
      <c r="Z69" s="29" t="s">
        <v>83</v>
      </c>
      <c r="AF69" s="2"/>
    </row>
    <row r="70" spans="1:32">
      <c r="D70" s="8">
        <f>$C$68/C55</f>
        <v>26.798665620094191</v>
      </c>
      <c r="M70" s="21"/>
      <c r="N70">
        <f>150/0.03</f>
        <v>5000</v>
      </c>
      <c r="P70" s="8">
        <f>$O$68/O55</f>
        <v>65.135645604395606</v>
      </c>
      <c r="R70" s="21"/>
      <c r="U70" s="8">
        <f>$S$68/T55</f>
        <v>124.88786723480601</v>
      </c>
      <c r="W70" s="21"/>
      <c r="X70" s="14">
        <f>$X$68/Y55</f>
        <v>27.319220957613815</v>
      </c>
      <c r="Y70" s="8"/>
      <c r="Z70" s="8">
        <f>$O$68/Y54</f>
        <v>8.4591747538176119</v>
      </c>
    </row>
    <row r="71" spans="1:32">
      <c r="D71" s="8">
        <f>$C$68/C56</f>
        <v>13.642957042957043</v>
      </c>
      <c r="M71" s="21"/>
      <c r="N71">
        <f>5000*0.03</f>
        <v>150</v>
      </c>
      <c r="P71" s="8">
        <f>$O$68/O56</f>
        <v>33.159965034965033</v>
      </c>
      <c r="R71" s="21"/>
      <c r="U71" s="8">
        <f>$S$68/T56</f>
        <v>63.57927786499215</v>
      </c>
      <c r="W71" s="21"/>
      <c r="X71" s="14">
        <f>$X$68/Y56</f>
        <v>22.560440235973765</v>
      </c>
      <c r="Y71" s="8"/>
      <c r="Z71" s="8">
        <f>$O$68/Y55</f>
        <v>2.907841321624804</v>
      </c>
      <c r="AF71" s="2"/>
    </row>
    <row r="72" spans="1:32">
      <c r="D72" s="8"/>
      <c r="M72" s="21"/>
      <c r="R72" s="21"/>
      <c r="W72" s="21"/>
      <c r="X72" s="14"/>
      <c r="Z72" s="8">
        <f>$O$68/Y56</f>
        <v>2.4013195857229652</v>
      </c>
      <c r="AF72" s="2"/>
    </row>
    <row r="73" spans="1:32">
      <c r="A73" t="s">
        <v>109</v>
      </c>
      <c r="C73" s="9">
        <f>buildingcost*16%</f>
        <v>2913408</v>
      </c>
      <c r="D73" s="8">
        <f>$C$73/C54</f>
        <v>242.54145854145855</v>
      </c>
      <c r="M73" s="21" t="s">
        <v>109</v>
      </c>
      <c r="O73" s="9">
        <f>med4Building_Cost*16%</f>
        <v>2890285.7142857146</v>
      </c>
      <c r="P73" s="8">
        <f>$O$73/O54</f>
        <v>589.51048951048949</v>
      </c>
      <c r="R73" s="21" t="s">
        <v>109</v>
      </c>
      <c r="S73" s="9">
        <f>tallBuilding_Cost*16%</f>
        <v>27154285.714285716</v>
      </c>
      <c r="T73" s="14">
        <f>$S$73/T54</f>
        <v>1130.2982731554162</v>
      </c>
      <c r="U73" s="8"/>
      <c r="W73" s="21" t="s">
        <v>109</v>
      </c>
      <c r="X73" s="9">
        <f>tallBuilding_Cost*16%</f>
        <v>27154285.714285716</v>
      </c>
      <c r="Y73" s="14">
        <f>$X$73/Y54</f>
        <v>282.57456828885404</v>
      </c>
      <c r="AF73" s="2"/>
    </row>
    <row r="74" spans="1:32">
      <c r="D74" s="8">
        <f>$C$73/C55</f>
        <v>95.284144427001564</v>
      </c>
      <c r="M74" t="s">
        <v>169</v>
      </c>
      <c r="O74" s="9">
        <f>med4Building_Cost*12%</f>
        <v>2167714.2857142859</v>
      </c>
      <c r="P74" s="8">
        <f>O74/O54</f>
        <v>442.13286713286715</v>
      </c>
      <c r="T74" s="14">
        <f>$S$73/T55</f>
        <v>444.04575016819916</v>
      </c>
      <c r="U74" s="8"/>
      <c r="Y74" s="14">
        <f>$X$73/Y55</f>
        <v>97.135007849293572</v>
      </c>
      <c r="Z74" s="8">
        <f>$O$73/Y54</f>
        <v>30.077065791351508</v>
      </c>
      <c r="AF74" s="2"/>
    </row>
    <row r="75" spans="1:32">
      <c r="D75" s="8">
        <f>$C$73/C56</f>
        <v>48.508291708291708</v>
      </c>
      <c r="P75" s="8">
        <f>$O$73/O56</f>
        <v>117.90209790209792</v>
      </c>
      <c r="T75" s="14">
        <f>$S$73/T56</f>
        <v>226.05965463108322</v>
      </c>
      <c r="U75" s="8"/>
      <c r="Y75" s="14">
        <f>$X$73/Y56</f>
        <v>80.214898616795622</v>
      </c>
      <c r="Z75" s="8">
        <f>$O$73/Y55</f>
        <v>10.338991365777082</v>
      </c>
      <c r="AF75" s="2"/>
    </row>
    <row r="76" spans="1:32">
      <c r="A76" t="s">
        <v>160</v>
      </c>
      <c r="B76" s="19">
        <v>0.125</v>
      </c>
      <c r="C76" s="9">
        <f>buildingcost*B76</f>
        <v>2276100</v>
      </c>
      <c r="D76" s="8">
        <f>$C$76/C54</f>
        <v>189.48551448551447</v>
      </c>
      <c r="E76" t="s">
        <v>161</v>
      </c>
      <c r="Z76" s="8">
        <f>$O$73/Y56</f>
        <v>8.5380251936816549</v>
      </c>
      <c r="AF76" s="2"/>
    </row>
    <row r="77" spans="1:32">
      <c r="C77" s="9"/>
      <c r="D77" s="8">
        <f t="shared" ref="D77:D78" si="3">$C$76/C55</f>
        <v>74.44073783359498</v>
      </c>
      <c r="AF77" s="2"/>
    </row>
    <row r="78" spans="1:32">
      <c r="C78" s="9"/>
      <c r="D78" s="8">
        <f t="shared" si="3"/>
        <v>37.897102897102897</v>
      </c>
      <c r="AF78" s="2"/>
    </row>
    <row r="79" spans="1:32">
      <c r="D79" s="8"/>
      <c r="AF79" s="2"/>
    </row>
    <row r="80" spans="1:32" s="59" customFormat="1">
      <c r="D80" s="60"/>
      <c r="Q80" s="77"/>
      <c r="R80"/>
      <c r="V80" s="92"/>
      <c r="AF80" s="61"/>
    </row>
    <row r="81" spans="1:32">
      <c r="D81" s="8"/>
      <c r="AF81" s="2" t="s">
        <v>0</v>
      </c>
    </row>
    <row r="82" spans="1:32">
      <c r="A82" t="s">
        <v>38</v>
      </c>
      <c r="D82" s="8"/>
      <c r="H82" t="s">
        <v>38</v>
      </c>
      <c r="AF82" s="2"/>
    </row>
    <row r="83" spans="1:32" ht="32.25">
      <c r="A83" t="s">
        <v>39</v>
      </c>
      <c r="C83" s="11"/>
      <c r="H83" t="s">
        <v>39</v>
      </c>
      <c r="I83" s="11" t="e">
        <f>#REF!</f>
        <v>#REF!</v>
      </c>
      <c r="AF83" s="5" t="s">
        <v>1</v>
      </c>
    </row>
    <row r="84" spans="1:32" ht="17.25">
      <c r="A84" t="s">
        <v>40</v>
      </c>
      <c r="C84" t="e">
        <f>#REF!</f>
        <v>#REF!</v>
      </c>
      <c r="D84" t="s">
        <v>41</v>
      </c>
      <c r="H84" t="s">
        <v>40</v>
      </c>
      <c r="I84" t="e">
        <f>#REF!</f>
        <v>#REF!</v>
      </c>
      <c r="J84" t="s">
        <v>41</v>
      </c>
      <c r="AF84" s="6" t="s">
        <v>49</v>
      </c>
    </row>
    <row r="85" spans="1:32">
      <c r="A85" t="s">
        <v>42</v>
      </c>
      <c r="C85">
        <v>25</v>
      </c>
      <c r="H85" t="s">
        <v>42</v>
      </c>
      <c r="I85">
        <v>25</v>
      </c>
      <c r="AF85" s="2"/>
    </row>
    <row r="86" spans="1:32">
      <c r="AF86" s="2"/>
    </row>
    <row r="87" spans="1:32">
      <c r="A87" t="s">
        <v>43</v>
      </c>
      <c r="C87">
        <v>19000</v>
      </c>
      <c r="H87" t="s">
        <v>43</v>
      </c>
      <c r="I87">
        <v>19000</v>
      </c>
      <c r="AF87" s="2"/>
    </row>
    <row r="88" spans="1:32">
      <c r="AF88" s="2"/>
    </row>
    <row r="89" spans="1:32">
      <c r="AF89" s="2"/>
    </row>
    <row r="90" spans="1:32">
      <c r="G90" t="s">
        <v>34</v>
      </c>
      <c r="AF90" s="2"/>
    </row>
    <row r="91" spans="1:32">
      <c r="G91" t="s">
        <v>35</v>
      </c>
      <c r="AF91" s="2"/>
    </row>
    <row r="92" spans="1:32">
      <c r="D92" s="23"/>
      <c r="E92" s="23"/>
      <c r="F92" s="23"/>
      <c r="AF92" s="2"/>
    </row>
    <row r="93" spans="1:32">
      <c r="AF93" s="2"/>
    </row>
    <row r="94" spans="1:32">
      <c r="E94" t="s">
        <v>30</v>
      </c>
      <c r="AF94" s="2"/>
    </row>
    <row r="95" spans="1:32">
      <c r="E95" t="s">
        <v>32</v>
      </c>
      <c r="AF95" s="2"/>
    </row>
    <row r="96" spans="1:32">
      <c r="B96" t="s">
        <v>32</v>
      </c>
      <c r="E96" t="s">
        <v>36</v>
      </c>
      <c r="AF96" s="2"/>
    </row>
    <row r="97" spans="1:32">
      <c r="B97" t="s">
        <v>29</v>
      </c>
      <c r="E97" t="s">
        <v>37</v>
      </c>
    </row>
    <row r="98" spans="1:32">
      <c r="B98" t="s">
        <v>30</v>
      </c>
      <c r="D98" t="s">
        <v>32</v>
      </c>
      <c r="AF98" s="2" t="s">
        <v>2</v>
      </c>
    </row>
    <row r="99" spans="1:32">
      <c r="B99" t="s">
        <v>31</v>
      </c>
      <c r="D99" t="s">
        <v>29</v>
      </c>
      <c r="E99" t="s">
        <v>28</v>
      </c>
      <c r="AF99" s="2"/>
    </row>
    <row r="100" spans="1:32">
      <c r="D100" t="s">
        <v>30</v>
      </c>
      <c r="AF100" s="4" t="s">
        <v>50</v>
      </c>
    </row>
    <row r="101" spans="1:32">
      <c r="D101" t="s">
        <v>31</v>
      </c>
      <c r="E101" t="s">
        <v>33</v>
      </c>
      <c r="AF101" s="2"/>
    </row>
    <row r="102" spans="1:32">
      <c r="B102" t="s">
        <v>48</v>
      </c>
      <c r="AF102" s="7" t="s">
        <v>3</v>
      </c>
    </row>
    <row r="103" spans="1:32">
      <c r="AF103" s="7" t="s">
        <v>51</v>
      </c>
    </row>
    <row r="104" spans="1:32">
      <c r="B104">
        <v>107</v>
      </c>
      <c r="D104" t="s">
        <v>48</v>
      </c>
      <c r="AF104" s="4" t="s">
        <v>4</v>
      </c>
    </row>
    <row r="105" spans="1:32" ht="18.75">
      <c r="AF105" s="3"/>
    </row>
    <row r="106" spans="1:32">
      <c r="B106" s="10">
        <v>12</v>
      </c>
      <c r="C106" s="10" t="s">
        <v>85</v>
      </c>
      <c r="D106">
        <v>10.7</v>
      </c>
      <c r="E106" t="s">
        <v>13</v>
      </c>
      <c r="AF106" s="7" t="s">
        <v>52</v>
      </c>
    </row>
    <row r="107" spans="1:32">
      <c r="B107" s="10"/>
      <c r="C107" s="10"/>
      <c r="AF107" s="4" t="s">
        <v>5</v>
      </c>
    </row>
    <row r="108" spans="1:32">
      <c r="B108" t="s">
        <v>14</v>
      </c>
      <c r="D108" s="10">
        <f>B106/D106</f>
        <v>1.1214953271028039</v>
      </c>
      <c r="G108" s="20">
        <f>D108/D106</f>
        <v>0.10481264739278541</v>
      </c>
      <c r="AF108" s="2"/>
    </row>
    <row r="109" spans="1:32">
      <c r="D109" s="10"/>
      <c r="G109" s="11"/>
      <c r="AF109" s="7" t="s">
        <v>53</v>
      </c>
    </row>
    <row r="110" spans="1:32">
      <c r="D110" s="52" t="s">
        <v>103</v>
      </c>
      <c r="E110" s="52" t="s">
        <v>105</v>
      </c>
      <c r="F110" t="s">
        <v>104</v>
      </c>
      <c r="G110" s="11"/>
      <c r="AF110" s="4" t="s">
        <v>6</v>
      </c>
    </row>
    <row r="111" spans="1:32">
      <c r="C111" s="53">
        <v>0.1</v>
      </c>
      <c r="D111" s="40">
        <f>C54</f>
        <v>12012</v>
      </c>
      <c r="E111" s="9">
        <v>3432</v>
      </c>
      <c r="F111" s="9">
        <f>D111:D113-E111:E113</f>
        <v>8580</v>
      </c>
      <c r="G111" s="11"/>
      <c r="AF111" s="4" t="s">
        <v>54</v>
      </c>
    </row>
    <row r="112" spans="1:32">
      <c r="A112" s="11"/>
      <c r="B112" s="11"/>
      <c r="C112" s="12">
        <v>0.25</v>
      </c>
      <c r="D112" s="40">
        <f>C55</f>
        <v>30576</v>
      </c>
      <c r="E112" s="9">
        <v>8736</v>
      </c>
      <c r="F112" s="9">
        <f t="shared" ref="F112" si="4">D112:D114-E112:E114</f>
        <v>21840</v>
      </c>
      <c r="AF112" s="2"/>
    </row>
    <row r="113" spans="1:32">
      <c r="A113" s="11"/>
      <c r="B113" s="11"/>
      <c r="C113" s="12">
        <v>0.5</v>
      </c>
      <c r="D113" s="40">
        <f>C56</f>
        <v>60060</v>
      </c>
      <c r="E113" s="9">
        <v>17160</v>
      </c>
      <c r="F113" s="9">
        <f>D113:D114-E113:E114</f>
        <v>42900</v>
      </c>
      <c r="AF113" s="2"/>
    </row>
    <row r="114" spans="1:32">
      <c r="A114" s="11"/>
      <c r="B114" s="11"/>
      <c r="C114" s="11"/>
      <c r="AF114" s="2"/>
    </row>
    <row r="115" spans="1:32">
      <c r="A115" s="24"/>
      <c r="B115" s="22"/>
      <c r="C115" s="53">
        <v>0.1</v>
      </c>
      <c r="D115" s="41">
        <v>6.5968103334651377E-4</v>
      </c>
      <c r="E115" s="57">
        <v>1.8848029524186108E-4</v>
      </c>
      <c r="F115" s="22"/>
      <c r="G115" s="22"/>
      <c r="AF115" s="2"/>
    </row>
    <row r="116" spans="1:32">
      <c r="A116" s="11"/>
      <c r="B116" s="41"/>
      <c r="C116" s="12">
        <v>0.25</v>
      </c>
      <c r="D116" s="41">
        <v>1.6791880848820351E-3</v>
      </c>
      <c r="E116" s="57">
        <v>4.7976802425201001E-4</v>
      </c>
      <c r="G116" s="14">
        <v>19000</v>
      </c>
      <c r="AF116" s="2"/>
    </row>
    <row r="117" spans="1:32">
      <c r="A117" s="11"/>
      <c r="B117" s="41"/>
      <c r="G117" s="9">
        <f>G116*300</f>
        <v>5700000</v>
      </c>
      <c r="AF117" s="2"/>
    </row>
    <row r="118" spans="1:32">
      <c r="A118" s="11"/>
      <c r="B118" s="41"/>
      <c r="G118" s="9">
        <f>19000*700</f>
        <v>13300000</v>
      </c>
      <c r="AF118" s="2"/>
    </row>
    <row r="119" spans="1:32">
      <c r="A119" s="11"/>
      <c r="AF119" s="2"/>
    </row>
    <row r="120" spans="1:32">
      <c r="D120" s="52" t="s">
        <v>103</v>
      </c>
      <c r="E120" s="52" t="s">
        <v>105</v>
      </c>
      <c r="F120" t="s">
        <v>104</v>
      </c>
    </row>
    <row r="121" spans="1:32">
      <c r="C121" s="12">
        <v>0.5</v>
      </c>
      <c r="D121" s="40">
        <v>60060</v>
      </c>
      <c r="E121" s="9">
        <v>17160</v>
      </c>
      <c r="F121" s="9">
        <f>D121:D122-E121:E122</f>
        <v>42900</v>
      </c>
    </row>
    <row r="122" spans="1:32">
      <c r="C122" s="12">
        <v>0.5</v>
      </c>
      <c r="D122" s="41">
        <v>3.2984051667325691E-3</v>
      </c>
      <c r="E122" s="57">
        <v>9.4240147620930543E-4</v>
      </c>
      <c r="F122" s="19">
        <f>D122-E122</f>
        <v>2.3560036905232637E-3</v>
      </c>
    </row>
    <row r="124" spans="1:32">
      <c r="C124" s="12">
        <v>0.5</v>
      </c>
      <c r="D124" s="9">
        <v>60060</v>
      </c>
      <c r="E124" s="9">
        <v>17160</v>
      </c>
      <c r="F124" s="9">
        <v>42900</v>
      </c>
    </row>
    <row r="128" spans="1:32">
      <c r="E128">
        <v>20</v>
      </c>
    </row>
    <row r="129" spans="5:13">
      <c r="E129">
        <v>20</v>
      </c>
      <c r="F129" t="s">
        <v>158</v>
      </c>
    </row>
    <row r="130" spans="5:13">
      <c r="E130">
        <v>20</v>
      </c>
      <c r="F130" t="s">
        <v>159</v>
      </c>
    </row>
    <row r="131" spans="5:13">
      <c r="E131">
        <v>60</v>
      </c>
    </row>
    <row r="132" spans="5:13">
      <c r="E132">
        <v>110</v>
      </c>
    </row>
    <row r="133" spans="5:13">
      <c r="E133">
        <v>70</v>
      </c>
    </row>
    <row r="134" spans="5:13">
      <c r="F134">
        <v>180</v>
      </c>
      <c r="G134">
        <v>15</v>
      </c>
      <c r="M134">
        <f>F134*G134</f>
        <v>2700</v>
      </c>
    </row>
  </sheetData>
  <hyperlinks>
    <hyperlink ref="AF100" r:id="rId1" display="https://www.energy.gov/eere/buildings/windows" xr:uid="{7BD4B120-5FF4-4357-BBDF-5B081C83680F}"/>
    <hyperlink ref="AF104" r:id="rId2" display="https://home.akitabox.com/blog/how-to-calculate-square-footage/" xr:uid="{C4D64BE7-34F9-4CDF-9C58-EC3807466BB6}"/>
    <hyperlink ref="AF107" r:id="rId3" display="https://theskydeck.com/how-tall-is-a-storey-in-feet/" xr:uid="{80B01336-DF4E-4E1E-856B-9D664CD24C15}"/>
    <hyperlink ref="AF110" r:id="rId4" display="https://www.eia.gov/todayinenergy/detail.php?id=21152" xr:uid="{D15636DC-A2CB-4AAF-B10B-0EBD072AC4DA}"/>
    <hyperlink ref="AF111" r:id="rId5" display="https://www.eia.gov/todayinenergy/detail.php?id=21152" xr:uid="{7C43410C-3D83-43D6-90A3-6013D0426A6C}"/>
    <hyperlink ref="AI60" r:id="rId6" display="https://bobcutmag.com/2022/03/23/how-much-does-it-cost-to-install-storefront-glass/" xr:uid="{A054FAFE-4F23-471E-BE3F-AC821781674B}"/>
    <hyperlink ref="AI56" r:id="rId7" display="https://glassstorefrontdoors.com/pricing/" xr:uid="{9FD671C7-90CB-454C-827F-DA2A16D540FC}"/>
    <hyperlink ref="AI53" r:id="rId8" display="https://windowinstallercosts.com/how-much-do-commercial-windows-cost/" xr:uid="{C57EC7F5-AADE-4DA1-83C4-25ABBBA41BA1}"/>
  </hyperlinks>
  <printOptions gridLines="1"/>
  <pageMargins left="0.7" right="0.7" top="0.75" bottom="0.75" header="0.3" footer="0.3"/>
  <pageSetup orientation="portrait" r:id="rId9"/>
  <drawing r:id="rId10"/>
  <legacy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3080-E36D-4169-A07D-FBF4011CAD35}">
  <dimension ref="D3:M17"/>
  <sheetViews>
    <sheetView topLeftCell="A4" workbookViewId="0">
      <selection activeCell="O13" sqref="O13"/>
    </sheetView>
  </sheetViews>
  <sheetFormatPr defaultRowHeight="15"/>
  <sheetData>
    <row r="3" spans="4:12">
      <c r="D3">
        <v>40</v>
      </c>
    </row>
    <row r="4" spans="4:12">
      <c r="D4">
        <v>100</v>
      </c>
    </row>
    <row r="11" spans="4:12">
      <c r="J11">
        <f>21*0.3</f>
        <v>6.3</v>
      </c>
    </row>
    <row r="13" spans="4:12">
      <c r="L13" s="115">
        <f>40*0.9</f>
        <v>36</v>
      </c>
    </row>
    <row r="17" spans="13:13">
      <c r="M17">
        <f>36/40</f>
        <v>0.9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8F72-3BC0-42AF-AE19-E31FCAF708E4}">
  <dimension ref="A1:T11"/>
  <sheetViews>
    <sheetView topLeftCell="A4" workbookViewId="0">
      <selection activeCell="N11" sqref="N11"/>
    </sheetView>
  </sheetViews>
  <sheetFormatPr defaultRowHeight="15"/>
  <cols>
    <col min="13" max="13" width="20" customWidth="1"/>
    <col min="14" max="14" width="9.28515625" bestFit="1" customWidth="1"/>
    <col min="15" max="15" width="12.7109375" bestFit="1" customWidth="1"/>
  </cols>
  <sheetData>
    <row r="1" spans="1:20">
      <c r="A1" t="s">
        <v>140</v>
      </c>
    </row>
    <row r="3" spans="1:20">
      <c r="M3" t="s">
        <v>141</v>
      </c>
    </row>
    <row r="5" spans="1:20">
      <c r="M5" t="s">
        <v>150</v>
      </c>
      <c r="N5" s="14">
        <v>5557000</v>
      </c>
    </row>
    <row r="6" spans="1:20" ht="90.75" thickBot="1">
      <c r="N6" s="113" t="s">
        <v>143</v>
      </c>
      <c r="O6" s="114" t="s">
        <v>144</v>
      </c>
      <c r="P6" s="114" t="s">
        <v>145</v>
      </c>
      <c r="Q6" s="114" t="s">
        <v>146</v>
      </c>
      <c r="R6" s="113" t="s">
        <v>147</v>
      </c>
    </row>
    <row r="7" spans="1:20" ht="15.75" thickTop="1">
      <c r="M7" s="110" t="s">
        <v>142</v>
      </c>
      <c r="N7" s="111">
        <v>17</v>
      </c>
      <c r="O7" s="111">
        <v>1340</v>
      </c>
      <c r="P7" s="111">
        <v>2652</v>
      </c>
      <c r="Q7" s="109">
        <v>78.599999999999994</v>
      </c>
      <c r="R7" s="111">
        <v>488</v>
      </c>
      <c r="S7" s="112">
        <v>77</v>
      </c>
      <c r="T7" t="s">
        <v>148</v>
      </c>
    </row>
    <row r="8" spans="1:20">
      <c r="N8" s="14">
        <v>17000</v>
      </c>
      <c r="O8" s="14">
        <v>1340000000</v>
      </c>
    </row>
    <row r="9" spans="1:20">
      <c r="O9" s="14">
        <f>O8/N8</f>
        <v>78823.529411764699</v>
      </c>
    </row>
    <row r="11" spans="1:20">
      <c r="M11" t="s">
        <v>149</v>
      </c>
      <c r="N11" s="19">
        <f>N8/N5</f>
        <v>3.0592046068022316E-3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3B3D-80C0-47F7-9198-B2056C4946DB}">
  <dimension ref="A1:Q19"/>
  <sheetViews>
    <sheetView workbookViewId="0">
      <selection activeCell="F9" sqref="F9"/>
    </sheetView>
  </sheetViews>
  <sheetFormatPr defaultRowHeight="15"/>
  <cols>
    <col min="2" max="2" width="11.42578125" customWidth="1"/>
    <col min="3" max="3" width="12.7109375" bestFit="1" customWidth="1"/>
    <col min="5" max="5" width="11.140625" bestFit="1" customWidth="1"/>
    <col min="6" max="6" width="18.42578125" customWidth="1"/>
  </cols>
  <sheetData>
    <row r="1" spans="1:17">
      <c r="A1" t="s">
        <v>81</v>
      </c>
    </row>
    <row r="3" spans="1:17">
      <c r="B3" t="s">
        <v>126</v>
      </c>
      <c r="E3" t="s">
        <v>99</v>
      </c>
    </row>
    <row r="4" spans="1:17">
      <c r="B4" t="s">
        <v>127</v>
      </c>
      <c r="C4" s="9">
        <f>buildingcost</f>
        <v>18208800</v>
      </c>
      <c r="D4" s="9"/>
      <c r="E4" s="9">
        <f>'Base spreadsheet'!C55</f>
        <v>30576</v>
      </c>
      <c r="F4" s="9">
        <f>C4+E4</f>
        <v>18239376</v>
      </c>
      <c r="N4" s="117" t="s">
        <v>170</v>
      </c>
    </row>
    <row r="5" spans="1:17">
      <c r="B5" s="12">
        <v>0.2</v>
      </c>
      <c r="C5" s="9">
        <f>C4*0.2</f>
        <v>3641760</v>
      </c>
      <c r="D5" s="9"/>
      <c r="E5" s="9"/>
      <c r="F5" s="9">
        <f>F4*0.2</f>
        <v>3647875.2</v>
      </c>
    </row>
    <row r="6" spans="1:17">
      <c r="B6" t="s">
        <v>97</v>
      </c>
      <c r="C6" s="9">
        <f>C4-C5</f>
        <v>14567040</v>
      </c>
      <c r="D6" s="9"/>
      <c r="E6" s="9">
        <f>C4+E4</f>
        <v>18239376</v>
      </c>
      <c r="F6" s="9">
        <f>F4-F5</f>
        <v>14591500.800000001</v>
      </c>
    </row>
    <row r="7" spans="1:17">
      <c r="C7" s="9"/>
      <c r="D7" s="9"/>
      <c r="E7" s="9"/>
      <c r="F7" s="9"/>
      <c r="N7" t="s">
        <v>172</v>
      </c>
    </row>
    <row r="8" spans="1:17">
      <c r="C8" s="9" t="s">
        <v>100</v>
      </c>
      <c r="D8" s="9"/>
      <c r="E8" s="9"/>
      <c r="F8" s="9" t="s">
        <v>101</v>
      </c>
      <c r="N8" t="s">
        <v>171</v>
      </c>
    </row>
    <row r="9" spans="1:17">
      <c r="B9" t="s">
        <v>98</v>
      </c>
      <c r="C9" s="9">
        <v>32804</v>
      </c>
      <c r="D9" s="9"/>
      <c r="E9" s="9">
        <v>32927</v>
      </c>
      <c r="F9" s="9">
        <f>E9-C9</f>
        <v>123</v>
      </c>
      <c r="N9" t="s">
        <v>170</v>
      </c>
      <c r="P9">
        <v>5.25</v>
      </c>
    </row>
    <row r="10" spans="1:17">
      <c r="B10" t="s">
        <v>128</v>
      </c>
      <c r="C10" s="9">
        <f>C9*12</f>
        <v>393648</v>
      </c>
      <c r="D10" s="9"/>
      <c r="N10" s="117">
        <v>45139</v>
      </c>
      <c r="P10">
        <v>5.25</v>
      </c>
      <c r="Q10">
        <v>5.5</v>
      </c>
    </row>
    <row r="11" spans="1:17">
      <c r="B11">
        <v>5.5</v>
      </c>
      <c r="C11" s="9"/>
      <c r="D11" s="9"/>
      <c r="E11" s="9"/>
      <c r="F11" s="9"/>
    </row>
    <row r="12" spans="1:17">
      <c r="C12" s="9"/>
      <c r="D12" s="9"/>
      <c r="E12" s="9" t="s">
        <v>102</v>
      </c>
      <c r="F12" s="13">
        <f>F9/C9</f>
        <v>3.7495427386904038E-3</v>
      </c>
    </row>
    <row r="13" spans="1:17">
      <c r="C13" s="9"/>
      <c r="D13" s="9"/>
      <c r="E13" s="9"/>
      <c r="F13" s="9"/>
      <c r="N13" t="s">
        <v>173</v>
      </c>
      <c r="Q13" t="s">
        <v>174</v>
      </c>
    </row>
    <row r="16" spans="1:17">
      <c r="N16" t="s">
        <v>176</v>
      </c>
      <c r="O16" s="14">
        <v>78000</v>
      </c>
    </row>
    <row r="17" spans="3:15">
      <c r="C17" s="118">
        <f>C4*0.2</f>
        <v>3641760</v>
      </c>
      <c r="N17" t="s">
        <v>177</v>
      </c>
      <c r="O17" s="14">
        <v>46856</v>
      </c>
    </row>
    <row r="18" spans="3:15">
      <c r="C18" t="s">
        <v>175</v>
      </c>
    </row>
    <row r="19" spans="3:15">
      <c r="O19" s="14">
        <f>O16-O17</f>
        <v>31144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45D9-7732-4B19-8B1A-73B5800421A8}">
  <dimension ref="A1:B4"/>
  <sheetViews>
    <sheetView topLeftCell="A10" workbookViewId="0">
      <selection activeCell="B4" sqref="B4"/>
    </sheetView>
  </sheetViews>
  <sheetFormatPr defaultRowHeight="15"/>
  <cols>
    <col min="2" max="2" width="84.140625" customWidth="1"/>
  </cols>
  <sheetData>
    <row r="1" spans="1:2">
      <c r="A1" t="s">
        <v>137</v>
      </c>
      <c r="B1" t="s">
        <v>136</v>
      </c>
    </row>
    <row r="4" spans="1:2" ht="75">
      <c r="B4" s="58" t="s">
        <v>107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CF484-79CD-4D4E-BAE1-AE8B2F253717}">
  <dimension ref="A1:R31"/>
  <sheetViews>
    <sheetView workbookViewId="0">
      <selection activeCell="N30" sqref="N30"/>
    </sheetView>
  </sheetViews>
  <sheetFormatPr defaultRowHeight="15"/>
  <cols>
    <col min="1" max="17" width="12.85546875" customWidth="1"/>
  </cols>
  <sheetData>
    <row r="1" spans="1:18" ht="21">
      <c r="A1" s="105" t="s">
        <v>130</v>
      </c>
    </row>
    <row r="2" spans="1:18" ht="15.75">
      <c r="A2" s="27"/>
    </row>
    <row r="4" spans="1:18">
      <c r="O4" s="14">
        <v>2273852</v>
      </c>
    </row>
    <row r="5" spans="1:18">
      <c r="O5" s="14"/>
    </row>
    <row r="6" spans="1:18">
      <c r="O6" s="14"/>
    </row>
    <row r="7" spans="1:18">
      <c r="O7" s="14"/>
    </row>
    <row r="8" spans="1:18">
      <c r="O8" s="14"/>
    </row>
    <row r="9" spans="1:18">
      <c r="O9" s="14" t="s">
        <v>155</v>
      </c>
    </row>
    <row r="10" spans="1:18">
      <c r="O10" s="14"/>
    </row>
    <row r="11" spans="1:18">
      <c r="O11" s="14">
        <v>268356</v>
      </c>
    </row>
    <row r="12" spans="1:18">
      <c r="O12" s="19">
        <f>57780/2273852</f>
        <v>2.5410624790003923E-2</v>
      </c>
      <c r="P12" t="s">
        <v>156</v>
      </c>
    </row>
    <row r="13" spans="1:18">
      <c r="O13" s="12">
        <f>O12*1.5</f>
        <v>3.8115937185005888E-2</v>
      </c>
    </row>
    <row r="15" spans="1:18">
      <c r="R15" t="s">
        <v>139</v>
      </c>
    </row>
    <row r="22" spans="6:14">
      <c r="G22">
        <f>447/2273</f>
        <v>0.19665640123185218</v>
      </c>
      <c r="K22">
        <f>57/268</f>
        <v>0.21268656716417911</v>
      </c>
    </row>
    <row r="24" spans="6:14">
      <c r="F24" t="s">
        <v>163</v>
      </c>
      <c r="G24" s="19">
        <f>57/2273</f>
        <v>2.5076990761108666E-2</v>
      </c>
    </row>
    <row r="27" spans="6:14">
      <c r="G27" t="s">
        <v>168</v>
      </c>
      <c r="K27" s="9">
        <v>447</v>
      </c>
    </row>
    <row r="28" spans="6:14">
      <c r="G28" t="s">
        <v>164</v>
      </c>
      <c r="I28" t="s">
        <v>166</v>
      </c>
      <c r="K28" s="9">
        <v>268</v>
      </c>
      <c r="L28" s="12">
        <f>K28/2273</f>
        <v>0.11790585129784426</v>
      </c>
    </row>
    <row r="29" spans="6:14">
      <c r="G29" t="s">
        <v>165</v>
      </c>
      <c r="I29" t="s">
        <v>167</v>
      </c>
      <c r="K29" s="9">
        <v>57000</v>
      </c>
      <c r="L29" s="116">
        <f>K29/O4</f>
        <v>2.5067594548809684E-2</v>
      </c>
    </row>
    <row r="30" spans="6:14">
      <c r="L30" s="19">
        <f>L29*0.75</f>
        <v>1.8800695911607261E-2</v>
      </c>
      <c r="N30" s="19">
        <f>1.25*L29</f>
        <v>3.1334493186012106E-2</v>
      </c>
    </row>
    <row r="31" spans="6:14">
      <c r="K31" s="32">
        <f>K29*1.25</f>
        <v>71250</v>
      </c>
      <c r="L31" s="19">
        <f>K31/O4</f>
        <v>3.1334493186012106E-2</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xcel.Sheet.12" shapeId="8193" r:id="rId4">
          <objectPr defaultSize="0" autoPict="0" r:id="rId5">
            <anchor moveWithCells="1" sizeWithCells="1">
              <from>
                <xdr:col>0</xdr:col>
                <xdr:colOff>0</xdr:colOff>
                <xdr:row>1</xdr:row>
                <xdr:rowOff>152400</xdr:rowOff>
              </from>
              <to>
                <xdr:col>13</xdr:col>
                <xdr:colOff>104775</xdr:colOff>
                <xdr:row>19</xdr:row>
                <xdr:rowOff>85725</xdr:rowOff>
              </to>
            </anchor>
          </objectPr>
        </oleObject>
      </mc:Choice>
      <mc:Fallback>
        <oleObject progId="Excel.Sheet.12" shapeId="819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69</vt:i4>
      </vt:variant>
    </vt:vector>
  </HeadingPairs>
  <TitlesOfParts>
    <vt:vector size="76" baseType="lpstr">
      <vt:lpstr>Spreadsheet explanation</vt:lpstr>
      <vt:lpstr>Base spreadsheet</vt:lpstr>
      <vt:lpstr>Sheet2</vt:lpstr>
      <vt:lpstr>Sheet1</vt:lpstr>
      <vt:lpstr>Financing</vt:lpstr>
      <vt:lpstr>bldgcostsqfeet</vt:lpstr>
      <vt:lpstr>Case study</vt:lpstr>
      <vt:lpstr>'Spreadsheet explanation'!_Toc120610339</vt:lpstr>
      <vt:lpstr>'Spreadsheet explanation'!_Toc120610341</vt:lpstr>
      <vt:lpstr>'Spreadsheet explanation'!_Toc120610342</vt:lpstr>
      <vt:lpstr>'Spreadsheet explanation'!_Toc120610343</vt:lpstr>
      <vt:lpstr>'Case study'!_Toc120610345</vt:lpstr>
      <vt:lpstr>'Spreadsheet explanation'!_Why_Scenarios_and</vt:lpstr>
      <vt:lpstr>Bird_Safe_Floors</vt:lpstr>
      <vt:lpstr>bldg_sq_ft_cost</vt:lpstr>
      <vt:lpstr>bldgdepth</vt:lpstr>
      <vt:lpstr>bldgheight</vt:lpstr>
      <vt:lpstr>bldgwidth</vt:lpstr>
      <vt:lpstr>buildingcost</vt:lpstr>
      <vt:lpstr>cost_100ft_windows</vt:lpstr>
      <vt:lpstr>cst_sq_foot</vt:lpstr>
      <vt:lpstr>floors_under_30</vt:lpstr>
      <vt:lpstr>Glass_cost_sq_foot</vt:lpstr>
      <vt:lpstr>height_of_floor</vt:lpstr>
      <vt:lpstr>med4bldgcossqft</vt:lpstr>
      <vt:lpstr>med4bldgheight</vt:lpstr>
      <vt:lpstr>Med4bldgwidth</vt:lpstr>
      <vt:lpstr>med4Building_Cost</vt:lpstr>
      <vt:lpstr>med4flrheight</vt:lpstr>
      <vt:lpstr>med4glasscostsqft</vt:lpstr>
      <vt:lpstr>med4safefloors</vt:lpstr>
      <vt:lpstr>med4safeheight</vt:lpstr>
      <vt:lpstr>med4swindowq_ftper_floor</vt:lpstr>
      <vt:lpstr>med4totalfloors</vt:lpstr>
      <vt:lpstr>med4unsafeflrcost</vt:lpstr>
      <vt:lpstr>med4window_width</vt:lpstr>
      <vt:lpstr>med4windowhight</vt:lpstr>
      <vt:lpstr>med4windowonesqft</vt:lpstr>
      <vt:lpstr>Med4windowsperfloor</vt:lpstr>
      <vt:lpstr>med4windowsq_ft_bird_safe</vt:lpstr>
      <vt:lpstr>med4windowwidth</vt:lpstr>
      <vt:lpstr>medium4bldgdepth</vt:lpstr>
      <vt:lpstr>medium4cstsqft</vt:lpstr>
      <vt:lpstr>medium4glasssafesqfeet</vt:lpstr>
      <vt:lpstr>medium4windheight</vt:lpstr>
      <vt:lpstr>numfloors</vt:lpstr>
      <vt:lpstr>safefloors</vt:lpstr>
      <vt:lpstr>sq_ft_100_ft_w</vt:lpstr>
      <vt:lpstr>sq_ft_all_W</vt:lpstr>
      <vt:lpstr>sq_ft_bldg</vt:lpstr>
      <vt:lpstr>sq_ft_eq_bird_safe</vt:lpstr>
      <vt:lpstr>sq_ft_per_w</vt:lpstr>
      <vt:lpstr>sq_ft_window</vt:lpstr>
      <vt:lpstr>sqft_bldg</vt:lpstr>
      <vt:lpstr>tall4windows_per_floor</vt:lpstr>
      <vt:lpstr>tall4windowsperfloor</vt:lpstr>
      <vt:lpstr>tallbldgsq_ft_building</vt:lpstr>
      <vt:lpstr>tallbldgsqftcost</vt:lpstr>
      <vt:lpstr>tallbuildcostsqfoot</vt:lpstr>
      <vt:lpstr>tallBuilding_Cost</vt:lpstr>
      <vt:lpstr>tallfloorsqfeet</vt:lpstr>
      <vt:lpstr>tallfloorssafe</vt:lpstr>
      <vt:lpstr>tallglasscostsqft</vt:lpstr>
      <vt:lpstr>tallnumfloors</vt:lpstr>
      <vt:lpstr>tallwindow_width</vt:lpstr>
      <vt:lpstr>tallwindowcostsqftt</vt:lpstr>
      <vt:lpstr>tallwindowheight</vt:lpstr>
      <vt:lpstr>tallwindowperfloor</vt:lpstr>
      <vt:lpstr>tallwindows_sq_ft_per_floor</vt:lpstr>
      <vt:lpstr>tallwindowsfloor</vt:lpstr>
      <vt:lpstr>tallwindowsperfloor</vt:lpstr>
      <vt:lpstr>tallwindowsqftsaf</vt:lpstr>
      <vt:lpstr>tallwindowsstotal</vt:lpstr>
      <vt:lpstr>'Base spreadsheet'!unsafecostperfloor</vt:lpstr>
      <vt:lpstr>w_per_floor</vt:lpstr>
      <vt:lpstr>windowssq_ft_per_floor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jimcubie@gmail.com</dc:creator>
  <cp:lastModifiedBy>Jim Cubie</cp:lastModifiedBy>
  <cp:lastPrinted>2022-09-16T17:44:39Z</cp:lastPrinted>
  <dcterms:created xsi:type="dcterms:W3CDTF">2022-08-12T19:44:26Z</dcterms:created>
  <dcterms:modified xsi:type="dcterms:W3CDTF">2024-03-07T19:40:40Z</dcterms:modified>
</cp:coreProperties>
</file>